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1060" windowHeight="10344" activeTab="1"/>
  </bookViews>
  <sheets>
    <sheet name="Flowsheet" sheetId="25" r:id="rId1"/>
    <sheet name="Flowsheet Balance" sheetId="11" r:id="rId2"/>
    <sheet name="Sizing Screen" sheetId="5" r:id="rId3"/>
    <sheet name="1st Stg Cyclone" sheetId="9" r:id="rId4"/>
    <sheet name="1st Stg Teeter" sheetId="12" r:id="rId5"/>
    <sheet name="2nd Stg Cyclone" sheetId="16" r:id="rId6"/>
    <sheet name="2nd Stg Teeter" sheetId="24" r:id="rId7"/>
    <sheet name="3rd Stg Cyclone" sheetId="17" r:id="rId8"/>
  </sheets>
  <calcPr calcId="145621"/>
</workbook>
</file>

<file path=xl/calcChain.xml><?xml version="1.0" encoding="utf-8"?>
<calcChain xmlns="http://schemas.openxmlformats.org/spreadsheetml/2006/main">
  <c r="J26" i="11" l="1"/>
  <c r="J25" i="11"/>
  <c r="J24" i="11"/>
  <c r="J23" i="11"/>
  <c r="J22" i="11"/>
  <c r="J21" i="11"/>
  <c r="J20" i="11"/>
  <c r="J19" i="11"/>
  <c r="J18" i="11"/>
  <c r="J17" i="11"/>
  <c r="J16" i="11"/>
  <c r="J15" i="11"/>
  <c r="J14" i="11"/>
  <c r="I14" i="11"/>
  <c r="I7" i="11"/>
  <c r="J5" i="11"/>
  <c r="I5" i="11"/>
  <c r="J3" i="11"/>
  <c r="I3" i="11"/>
  <c r="J2" i="11"/>
  <c r="I2" i="11"/>
  <c r="H14" i="11"/>
  <c r="H7" i="11"/>
  <c r="H5" i="11"/>
  <c r="H3" i="11"/>
  <c r="H2" i="11"/>
  <c r="G14" i="11"/>
  <c r="G7" i="11"/>
  <c r="G5" i="11"/>
  <c r="G3" i="11"/>
  <c r="G2" i="11"/>
  <c r="F14" i="11"/>
  <c r="F7" i="11"/>
  <c r="F3" i="11"/>
  <c r="F2" i="11"/>
  <c r="E7" i="11"/>
  <c r="E6" i="11"/>
  <c r="E4" i="11"/>
  <c r="E3" i="11"/>
  <c r="E2" i="11"/>
  <c r="D25" i="11"/>
  <c r="C25" i="11"/>
  <c r="D24" i="11"/>
  <c r="C24" i="11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B25" i="11"/>
  <c r="B24" i="11"/>
  <c r="B23" i="11"/>
  <c r="B22" i="11"/>
  <c r="B21" i="11"/>
  <c r="B20" i="11"/>
  <c r="B19" i="11"/>
  <c r="B18" i="11"/>
  <c r="B17" i="11"/>
  <c r="B16" i="11"/>
  <c r="B15" i="11"/>
  <c r="B49" i="17" l="1"/>
  <c r="B48" i="17"/>
  <c r="B47" i="17"/>
  <c r="B46" i="17"/>
  <c r="B45" i="17"/>
  <c r="B44" i="17"/>
  <c r="B43" i="17"/>
  <c r="B42" i="17"/>
  <c r="B41" i="17"/>
  <c r="B40" i="17"/>
  <c r="B39" i="17"/>
  <c r="E15" i="24"/>
  <c r="F15" i="24" s="1"/>
  <c r="E14" i="24"/>
  <c r="F14" i="24" s="1"/>
  <c r="E13" i="24"/>
  <c r="F13" i="24" s="1"/>
  <c r="E12" i="24"/>
  <c r="F12" i="24" s="1"/>
  <c r="E11" i="24"/>
  <c r="D30" i="24" s="1"/>
  <c r="E10" i="24"/>
  <c r="F10" i="24" s="1"/>
  <c r="F19" i="24" s="1"/>
  <c r="E9" i="24"/>
  <c r="D28" i="24" s="1"/>
  <c r="E8" i="24"/>
  <c r="D27" i="24" s="1"/>
  <c r="D8" i="24"/>
  <c r="D9" i="24" s="1"/>
  <c r="E7" i="24"/>
  <c r="F7" i="24" s="1"/>
  <c r="D7" i="24"/>
  <c r="E6" i="24"/>
  <c r="F6" i="24" s="1"/>
  <c r="E5" i="24"/>
  <c r="F5" i="24" s="1"/>
  <c r="B45" i="16"/>
  <c r="B44" i="16"/>
  <c r="B43" i="16"/>
  <c r="B42" i="16"/>
  <c r="B41" i="16"/>
  <c r="B40" i="16"/>
  <c r="B39" i="16"/>
  <c r="D57" i="11"/>
  <c r="E15" i="12"/>
  <c r="F15" i="12" s="1"/>
  <c r="G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E8" i="12"/>
  <c r="F8" i="12" s="1"/>
  <c r="G8" i="12" s="1"/>
  <c r="E7" i="12"/>
  <c r="F7" i="12" s="1"/>
  <c r="F18" i="12" s="1"/>
  <c r="E6" i="12"/>
  <c r="F6" i="12" s="1"/>
  <c r="E5" i="12"/>
  <c r="F5" i="12" s="1"/>
  <c r="F11" i="24" l="1"/>
  <c r="F30" i="24" s="1"/>
  <c r="D25" i="24"/>
  <c r="D29" i="24"/>
  <c r="D31" i="24"/>
  <c r="D32" i="24"/>
  <c r="G10" i="24"/>
  <c r="F29" i="24"/>
  <c r="G14" i="24"/>
  <c r="F25" i="24"/>
  <c r="G6" i="24"/>
  <c r="G12" i="24"/>
  <c r="G13" i="24"/>
  <c r="G7" i="24"/>
  <c r="F26" i="24"/>
  <c r="F24" i="24"/>
  <c r="G5" i="24"/>
  <c r="G15" i="24"/>
  <c r="F8" i="24"/>
  <c r="D33" i="24"/>
  <c r="D34" i="24"/>
  <c r="F9" i="24"/>
  <c r="F18" i="24" s="1"/>
  <c r="D24" i="24"/>
  <c r="D26" i="24"/>
  <c r="D28" i="12"/>
  <c r="D29" i="12"/>
  <c r="D24" i="12"/>
  <c r="D25" i="12"/>
  <c r="D32" i="12"/>
  <c r="D33" i="12"/>
  <c r="D26" i="12"/>
  <c r="D34" i="12"/>
  <c r="D27" i="12"/>
  <c r="D30" i="12"/>
  <c r="D31" i="12"/>
  <c r="F19" i="12"/>
  <c r="G7" i="12"/>
  <c r="G5" i="12"/>
  <c r="G13" i="12"/>
  <c r="G9" i="12"/>
  <c r="G10" i="12"/>
  <c r="G11" i="12"/>
  <c r="G12" i="12"/>
  <c r="G6" i="12"/>
  <c r="G14" i="12"/>
  <c r="B46" i="9"/>
  <c r="B45" i="9"/>
  <c r="B44" i="9"/>
  <c r="B43" i="9"/>
  <c r="B42" i="9"/>
  <c r="B41" i="9"/>
  <c r="B40" i="9"/>
  <c r="B39" i="9"/>
  <c r="E52" i="11"/>
  <c r="E51" i="11"/>
  <c r="E50" i="11"/>
  <c r="E49" i="11"/>
  <c r="E48" i="11"/>
  <c r="E47" i="11"/>
  <c r="E46" i="11"/>
  <c r="E45" i="11"/>
  <c r="E44" i="11"/>
  <c r="E43" i="11"/>
  <c r="E42" i="11"/>
  <c r="B45" i="5"/>
  <c r="B44" i="5"/>
  <c r="B43" i="5"/>
  <c r="B42" i="5"/>
  <c r="B41" i="5"/>
  <c r="B60" i="5" s="1"/>
  <c r="B40" i="5"/>
  <c r="B59" i="5" s="1"/>
  <c r="B39" i="5"/>
  <c r="B58" i="5" s="1"/>
  <c r="B38" i="5"/>
  <c r="B57" i="5" s="1"/>
  <c r="B37" i="5"/>
  <c r="B56" i="5" s="1"/>
  <c r="B36" i="5"/>
  <c r="B55" i="5" s="1"/>
  <c r="B35" i="5"/>
  <c r="B54" i="5" s="1"/>
  <c r="B34" i="5"/>
  <c r="B53" i="5" s="1"/>
  <c r="E32" i="11"/>
  <c r="G33" i="11"/>
  <c r="G31" i="11"/>
  <c r="G52" i="11" l="1"/>
  <c r="E25" i="11"/>
  <c r="G45" i="11"/>
  <c r="E18" i="11"/>
  <c r="G47" i="11"/>
  <c r="E20" i="11"/>
  <c r="G48" i="11"/>
  <c r="E21" i="11"/>
  <c r="G49" i="11"/>
  <c r="E22" i="11"/>
  <c r="G44" i="11"/>
  <c r="E17" i="11"/>
  <c r="H32" i="11"/>
  <c r="F5" i="11" s="1"/>
  <c r="E5" i="11"/>
  <c r="G46" i="11"/>
  <c r="E19" i="11"/>
  <c r="G42" i="11"/>
  <c r="E15" i="11"/>
  <c r="G50" i="11"/>
  <c r="E23" i="11"/>
  <c r="G43" i="11"/>
  <c r="G53" i="11" s="1"/>
  <c r="E16" i="11"/>
  <c r="G51" i="11"/>
  <c r="E24" i="11"/>
  <c r="G11" i="24"/>
  <c r="F20" i="24"/>
  <c r="F27" i="24"/>
  <c r="G8" i="24"/>
  <c r="F28" i="24"/>
  <c r="G9" i="24"/>
  <c r="K32" i="11"/>
  <c r="F11" i="9" s="1"/>
  <c r="D58" i="11"/>
  <c r="F11" i="16" s="1"/>
  <c r="C53" i="5"/>
  <c r="G32" i="11"/>
  <c r="E13" i="5" s="1"/>
  <c r="P32" i="11"/>
  <c r="E14" i="5"/>
  <c r="E26" i="11" l="1"/>
  <c r="L58" i="11"/>
  <c r="F11" i="17" s="1"/>
  <c r="I58" i="11"/>
  <c r="J7" i="24"/>
  <c r="J10" i="24"/>
  <c r="J13" i="24"/>
  <c r="J11" i="24"/>
  <c r="J12" i="24"/>
  <c r="J15" i="24"/>
  <c r="J5" i="24"/>
  <c r="J14" i="24"/>
  <c r="J8" i="24"/>
  <c r="J6" i="24"/>
  <c r="J9" i="24"/>
  <c r="F20" i="12"/>
  <c r="J6" i="12" l="1"/>
  <c r="J5" i="12"/>
  <c r="J11" i="12"/>
  <c r="J14" i="12"/>
  <c r="J13" i="12"/>
  <c r="J12" i="12"/>
  <c r="J10" i="12"/>
  <c r="J15" i="12"/>
  <c r="J9" i="12"/>
  <c r="J7" i="12"/>
  <c r="J8" i="12"/>
  <c r="C63" i="5" l="1"/>
  <c r="C62" i="5"/>
  <c r="C61" i="5"/>
  <c r="C54" i="5" l="1"/>
  <c r="C60" i="5"/>
  <c r="C58" i="5" l="1"/>
  <c r="C57" i="5"/>
  <c r="C56" i="5"/>
  <c r="C55" i="5"/>
  <c r="C59" i="5"/>
  <c r="T47" i="17" l="1"/>
  <c r="N33" i="17"/>
  <c r="N32" i="17"/>
  <c r="N31" i="17"/>
  <c r="N30" i="17"/>
  <c r="N29" i="17"/>
  <c r="K29" i="17"/>
  <c r="N28" i="17"/>
  <c r="N27" i="17"/>
  <c r="N26" i="17"/>
  <c r="N25" i="17"/>
  <c r="N24" i="17"/>
  <c r="N23" i="17"/>
  <c r="N22" i="17"/>
  <c r="K22" i="17"/>
  <c r="K23" i="17" s="1"/>
  <c r="Q21" i="17"/>
  <c r="P21" i="17"/>
  <c r="O21" i="17"/>
  <c r="N21" i="17"/>
  <c r="Q20" i="17"/>
  <c r="P20" i="17"/>
  <c r="O20" i="17"/>
  <c r="N20" i="17"/>
  <c r="K20" i="17"/>
  <c r="T13" i="17"/>
  <c r="T18" i="17" s="1"/>
  <c r="T10" i="17"/>
  <c r="T9" i="17"/>
  <c r="T47" i="16"/>
  <c r="N33" i="16"/>
  <c r="N32" i="16"/>
  <c r="N31" i="16"/>
  <c r="N30" i="16"/>
  <c r="N29" i="16"/>
  <c r="K29" i="16"/>
  <c r="N28" i="16"/>
  <c r="N27" i="16"/>
  <c r="N26" i="16"/>
  <c r="N25" i="16"/>
  <c r="N24" i="16"/>
  <c r="N23" i="16"/>
  <c r="N22" i="16"/>
  <c r="K22" i="16"/>
  <c r="K21" i="16" s="1"/>
  <c r="K26" i="16" s="1"/>
  <c r="Q21" i="16"/>
  <c r="P21" i="16"/>
  <c r="O21" i="16"/>
  <c r="N21" i="16"/>
  <c r="Q20" i="16"/>
  <c r="P20" i="16"/>
  <c r="O20" i="16"/>
  <c r="N20" i="16"/>
  <c r="K20" i="16"/>
  <c r="T13" i="16"/>
  <c r="T18" i="16" s="1"/>
  <c r="T10" i="16"/>
  <c r="T9" i="16"/>
  <c r="K20" i="9"/>
  <c r="K22" i="9"/>
  <c r="K21" i="9" s="1"/>
  <c r="N22" i="9"/>
  <c r="N23" i="9"/>
  <c r="N24" i="9"/>
  <c r="N25" i="9"/>
  <c r="N26" i="9"/>
  <c r="N27" i="9"/>
  <c r="N28" i="9"/>
  <c r="N29" i="9"/>
  <c r="N30" i="9"/>
  <c r="N31" i="9"/>
  <c r="N32" i="9"/>
  <c r="N33" i="9"/>
  <c r="K21" i="17" l="1"/>
  <c r="K26" i="17" s="1"/>
  <c r="K25" i="17"/>
  <c r="K25" i="16"/>
  <c r="K23" i="16"/>
  <c r="K23" i="9"/>
  <c r="K27" i="17" l="1"/>
  <c r="K30" i="17" s="1"/>
  <c r="K33" i="17"/>
  <c r="K27" i="16"/>
  <c r="K30" i="16" s="1"/>
  <c r="K33" i="16"/>
  <c r="D14" i="12" l="1"/>
  <c r="D12" i="12"/>
  <c r="D13" i="12" s="1"/>
  <c r="F30" i="12"/>
  <c r="F29" i="12"/>
  <c r="F28" i="12"/>
  <c r="D8" i="12"/>
  <c r="D9" i="12" s="1"/>
  <c r="F27" i="12"/>
  <c r="D7" i="12"/>
  <c r="F26" i="12"/>
  <c r="F25" i="12"/>
  <c r="F24" i="12"/>
  <c r="I57" i="11"/>
  <c r="D3" i="24" s="1"/>
  <c r="P31" i="11"/>
  <c r="D3" i="12" s="1"/>
  <c r="T47" i="9"/>
  <c r="K29" i="9"/>
  <c r="Q21" i="9"/>
  <c r="P21" i="9"/>
  <c r="O21" i="9"/>
  <c r="N21" i="9"/>
  <c r="Q20" i="9"/>
  <c r="P20" i="9"/>
  <c r="O20" i="9"/>
  <c r="N20" i="9"/>
  <c r="K26" i="9"/>
  <c r="T13" i="9"/>
  <c r="T10" i="9"/>
  <c r="T9" i="9"/>
  <c r="K25" i="9" l="1"/>
  <c r="K33" i="9" s="1"/>
  <c r="D15" i="12"/>
  <c r="D16" i="12" s="1"/>
  <c r="E26" i="12" s="1"/>
  <c r="G26" i="12" s="1"/>
  <c r="T18" i="9"/>
  <c r="D53" i="5"/>
  <c r="H42" i="11" s="1"/>
  <c r="F15" i="11" s="1"/>
  <c r="O57" i="11"/>
  <c r="J4" i="11" s="1"/>
  <c r="N57" i="11"/>
  <c r="I4" i="11" s="1"/>
  <c r="M57" i="11"/>
  <c r="K57" i="11"/>
  <c r="J57" i="11"/>
  <c r="H4" i="11" s="1"/>
  <c r="F57" i="11"/>
  <c r="F62" i="11" s="1"/>
  <c r="F63" i="11" s="1"/>
  <c r="E57" i="11"/>
  <c r="E39" i="11"/>
  <c r="E12" i="11" s="1"/>
  <c r="E36" i="11"/>
  <c r="R31" i="11"/>
  <c r="Q31" i="11"/>
  <c r="G4" i="11" s="1"/>
  <c r="M31" i="11"/>
  <c r="M36" i="11" s="1"/>
  <c r="M37" i="11" s="1"/>
  <c r="L31" i="11"/>
  <c r="K31" i="11"/>
  <c r="I31" i="11"/>
  <c r="H31" i="11"/>
  <c r="F4" i="11" s="1"/>
  <c r="AA54" i="5"/>
  <c r="Q54" i="5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G54" i="5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AD49" i="5"/>
  <c r="T49" i="5"/>
  <c r="J49" i="5"/>
  <c r="AA43" i="5"/>
  <c r="AB64" i="5" s="1"/>
  <c r="Q43" i="5"/>
  <c r="R64" i="5" s="1"/>
  <c r="H43" i="5"/>
  <c r="I64" i="5" s="1"/>
  <c r="G43" i="5"/>
  <c r="H64" i="5" s="1"/>
  <c r="AA42" i="5"/>
  <c r="AB63" i="5" s="1"/>
  <c r="Q42" i="5"/>
  <c r="R63" i="5" s="1"/>
  <c r="H42" i="5"/>
  <c r="I63" i="5" s="1"/>
  <c r="G42" i="5"/>
  <c r="H63" i="5" s="1"/>
  <c r="AA41" i="5"/>
  <c r="AB62" i="5" s="1"/>
  <c r="Q41" i="5"/>
  <c r="R62" i="5" s="1"/>
  <c r="H41" i="5"/>
  <c r="I62" i="5" s="1"/>
  <c r="G41" i="5"/>
  <c r="H62" i="5" s="1"/>
  <c r="AA40" i="5"/>
  <c r="AB61" i="5" s="1"/>
  <c r="Q40" i="5"/>
  <c r="R61" i="5" s="1"/>
  <c r="H40" i="5"/>
  <c r="I61" i="5" s="1"/>
  <c r="G40" i="5"/>
  <c r="H61" i="5" s="1"/>
  <c r="AA39" i="5"/>
  <c r="AB60" i="5" s="1"/>
  <c r="Q39" i="5"/>
  <c r="R60" i="5" s="1"/>
  <c r="H39" i="5"/>
  <c r="I60" i="5" s="1"/>
  <c r="G39" i="5"/>
  <c r="H60" i="5" s="1"/>
  <c r="AA38" i="5"/>
  <c r="AB59" i="5" s="1"/>
  <c r="Q38" i="5"/>
  <c r="R59" i="5" s="1"/>
  <c r="H38" i="5"/>
  <c r="I59" i="5" s="1"/>
  <c r="G38" i="5"/>
  <c r="H59" i="5" s="1"/>
  <c r="AA37" i="5"/>
  <c r="AB58" i="5" s="1"/>
  <c r="Q37" i="5"/>
  <c r="U38" i="5" s="1"/>
  <c r="H37" i="5"/>
  <c r="I58" i="5" s="1"/>
  <c r="G37" i="5"/>
  <c r="K38" i="5" s="1"/>
  <c r="AA36" i="5"/>
  <c r="AE39" i="5" s="1"/>
  <c r="Q36" i="5"/>
  <c r="U39" i="5" s="1"/>
  <c r="H36" i="5"/>
  <c r="I57" i="5" s="1"/>
  <c r="G36" i="5"/>
  <c r="K39" i="5" s="1"/>
  <c r="AA35" i="5"/>
  <c r="AB56" i="5" s="1"/>
  <c r="Q35" i="5"/>
  <c r="R56" i="5" s="1"/>
  <c r="H35" i="5"/>
  <c r="I56" i="5" s="1"/>
  <c r="G35" i="5"/>
  <c r="H56" i="5" s="1"/>
  <c r="AA34" i="5"/>
  <c r="AB55" i="5" s="1"/>
  <c r="Q34" i="5"/>
  <c r="R55" i="5" s="1"/>
  <c r="H34" i="5"/>
  <c r="I55" i="5" s="1"/>
  <c r="G34" i="5"/>
  <c r="K41" i="5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D34" i="5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AA33" i="5"/>
  <c r="AE42" i="5" s="1"/>
  <c r="Q33" i="5"/>
  <c r="U42" i="5" s="1"/>
  <c r="H33" i="5"/>
  <c r="I54" i="5" s="1"/>
  <c r="G33" i="5"/>
  <c r="H54" i="5" s="1"/>
  <c r="AA32" i="5"/>
  <c r="AB53" i="5" s="1"/>
  <c r="Q32" i="5"/>
  <c r="U43" i="5" s="1"/>
  <c r="H32" i="5"/>
  <c r="I53" i="5" s="1"/>
  <c r="G32" i="5"/>
  <c r="K43" i="5" s="1"/>
  <c r="AE20" i="5"/>
  <c r="AI26" i="5" s="1"/>
  <c r="U20" i="5"/>
  <c r="T50" i="5" s="1"/>
  <c r="K20" i="5"/>
  <c r="J50" i="5" s="1"/>
  <c r="AE19" i="5"/>
  <c r="U19" i="5"/>
  <c r="K19" i="5"/>
  <c r="AE18" i="5"/>
  <c r="AC49" i="5" s="1"/>
  <c r="U18" i="5"/>
  <c r="S49" i="5" s="1"/>
  <c r="K18" i="5"/>
  <c r="K14" i="5"/>
  <c r="AI13" i="5"/>
  <c r="AE13" i="5"/>
  <c r="AI23" i="5" s="1"/>
  <c r="Y13" i="5"/>
  <c r="U13" i="5"/>
  <c r="Y23" i="5" s="1"/>
  <c r="O13" i="5"/>
  <c r="K13" i="5"/>
  <c r="AI12" i="5"/>
  <c r="AC12" i="5"/>
  <c r="Y12" i="5"/>
  <c r="S12" i="5"/>
  <c r="O12" i="5"/>
  <c r="I12" i="5"/>
  <c r="AC9" i="5"/>
  <c r="S9" i="5"/>
  <c r="I9" i="5"/>
  <c r="AC8" i="5"/>
  <c r="S8" i="5"/>
  <c r="I8" i="5"/>
  <c r="AC7" i="5"/>
  <c r="S7" i="5"/>
  <c r="I7" i="5"/>
  <c r="E37" i="11" l="1"/>
  <c r="E10" i="11" s="1"/>
  <c r="E9" i="11"/>
  <c r="AE32" i="5"/>
  <c r="E35" i="11"/>
  <c r="E8" i="11" s="1"/>
  <c r="G39" i="11"/>
  <c r="J62" i="11"/>
  <c r="H9" i="11" s="1"/>
  <c r="K33" i="5"/>
  <c r="U34" i="5"/>
  <c r="L32" i="5"/>
  <c r="L33" i="5"/>
  <c r="K27" i="9"/>
  <c r="K30" i="9" s="1"/>
  <c r="N62" i="11"/>
  <c r="I9" i="11" s="1"/>
  <c r="E28" i="12"/>
  <c r="G28" i="12" s="1"/>
  <c r="E30" i="12"/>
  <c r="G30" i="12" s="1"/>
  <c r="E24" i="12"/>
  <c r="G24" i="12" s="1"/>
  <c r="E25" i="12"/>
  <c r="G25" i="12" s="1"/>
  <c r="E27" i="12"/>
  <c r="G27" i="12" s="1"/>
  <c r="E29" i="12"/>
  <c r="G29" i="12" s="1"/>
  <c r="K35" i="5"/>
  <c r="E38" i="11"/>
  <c r="E11" i="11" s="1"/>
  <c r="U35" i="5"/>
  <c r="AI24" i="5"/>
  <c r="U33" i="5"/>
  <c r="K34" i="5"/>
  <c r="K37" i="5"/>
  <c r="AE33" i="5"/>
  <c r="U37" i="5"/>
  <c r="AA55" i="5"/>
  <c r="AA56" i="5" s="1"/>
  <c r="AA57" i="5" s="1"/>
  <c r="AA58" i="5" s="1"/>
  <c r="AA59" i="5" s="1"/>
  <c r="AA60" i="5" s="1"/>
  <c r="AA61" i="5" s="1"/>
  <c r="AA62" i="5" s="1"/>
  <c r="AA63" i="5" s="1"/>
  <c r="AA64" i="5" s="1"/>
  <c r="AI17" i="5"/>
  <c r="Y24" i="5"/>
  <c r="K32" i="5"/>
  <c r="O17" i="5"/>
  <c r="L42" i="5"/>
  <c r="U32" i="5"/>
  <c r="AE34" i="5"/>
  <c r="H36" i="11"/>
  <c r="F9" i="11" s="1"/>
  <c r="I32" i="5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AE37" i="5"/>
  <c r="L41" i="5"/>
  <c r="J32" i="5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AE35" i="5"/>
  <c r="O26" i="5"/>
  <c r="L38" i="5"/>
  <c r="Y26" i="5"/>
  <c r="L37" i="5"/>
  <c r="L34" i="5"/>
  <c r="I49" i="5"/>
  <c r="J57" i="5"/>
  <c r="S50" i="5"/>
  <c r="S48" i="5" s="1"/>
  <c r="J60" i="5"/>
  <c r="J62" i="5"/>
  <c r="AC50" i="5"/>
  <c r="AC48" i="5" s="1"/>
  <c r="O23" i="5"/>
  <c r="J64" i="5"/>
  <c r="J53" i="5"/>
  <c r="J54" i="5"/>
  <c r="J58" i="5"/>
  <c r="J59" i="5"/>
  <c r="AD48" i="5"/>
  <c r="AD50" i="5"/>
  <c r="J56" i="5"/>
  <c r="J61" i="5"/>
  <c r="J55" i="5"/>
  <c r="Y17" i="5"/>
  <c r="O24" i="5"/>
  <c r="J63" i="5"/>
  <c r="L35" i="5"/>
  <c r="L39" i="5"/>
  <c r="L43" i="5"/>
  <c r="J48" i="5"/>
  <c r="R53" i="5"/>
  <c r="R54" i="5"/>
  <c r="H57" i="5"/>
  <c r="K36" i="5"/>
  <c r="U36" i="5"/>
  <c r="AE36" i="5"/>
  <c r="K40" i="5"/>
  <c r="U40" i="5"/>
  <c r="AE40" i="5"/>
  <c r="H53" i="5"/>
  <c r="AB54" i="5"/>
  <c r="R57" i="5"/>
  <c r="L36" i="5"/>
  <c r="L40" i="5"/>
  <c r="T48" i="5"/>
  <c r="H55" i="5"/>
  <c r="AB57" i="5"/>
  <c r="U41" i="5"/>
  <c r="AE41" i="5"/>
  <c r="H58" i="5"/>
  <c r="R58" i="5"/>
  <c r="AE38" i="5"/>
  <c r="K42" i="5"/>
  <c r="AE43" i="5"/>
  <c r="G38" i="11" l="1"/>
  <c r="G35" i="11"/>
  <c r="G34" i="11" s="1"/>
  <c r="J63" i="11"/>
  <c r="H10" i="11" s="1"/>
  <c r="N63" i="11"/>
  <c r="I10" i="11" s="1"/>
  <c r="H37" i="11"/>
  <c r="F10" i="11" s="1"/>
  <c r="U64" i="5"/>
  <c r="U62" i="5"/>
  <c r="U63" i="5"/>
  <c r="U55" i="5"/>
  <c r="U56" i="5"/>
  <c r="U59" i="5"/>
  <c r="U61" i="5"/>
  <c r="U60" i="5"/>
  <c r="AE62" i="5"/>
  <c r="AE56" i="5"/>
  <c r="AE64" i="5"/>
  <c r="AE58" i="5"/>
  <c r="AE53" i="5"/>
  <c r="AE60" i="5"/>
  <c r="AE61" i="5"/>
  <c r="AE59" i="5"/>
  <c r="AE55" i="5"/>
  <c r="AE63" i="5"/>
  <c r="AE54" i="5"/>
  <c r="AE57" i="5"/>
  <c r="U53" i="5"/>
  <c r="U58" i="5"/>
  <c r="U57" i="5"/>
  <c r="I50" i="5"/>
  <c r="I48" i="5" s="1"/>
  <c r="U54" i="5"/>
  <c r="N43" i="5"/>
  <c r="N42" i="5" s="1"/>
  <c r="N41" i="5" s="1"/>
  <c r="N40" i="5" s="1"/>
  <c r="N39" i="5" s="1"/>
  <c r="N38" i="5" s="1"/>
  <c r="N37" i="5" s="1"/>
  <c r="N36" i="5" s="1"/>
  <c r="N35" i="5" s="1"/>
  <c r="N34" i="5" s="1"/>
  <c r="N33" i="5" s="1"/>
  <c r="N32" i="5" s="1"/>
  <c r="M43" i="5"/>
  <c r="M42" i="5" s="1"/>
  <c r="M41" i="5" s="1"/>
  <c r="M40" i="5" s="1"/>
  <c r="M39" i="5" s="1"/>
  <c r="M38" i="5" s="1"/>
  <c r="M37" i="5" s="1"/>
  <c r="M36" i="5" s="1"/>
  <c r="M35" i="5" s="1"/>
  <c r="M34" i="5" s="1"/>
  <c r="M33" i="5" s="1"/>
  <c r="M32" i="5" s="1"/>
  <c r="J65" i="5"/>
  <c r="G36" i="11" l="1"/>
  <c r="G37" i="11" s="1"/>
  <c r="E15" i="5"/>
  <c r="K26" i="5"/>
  <c r="K27" i="5" s="1"/>
  <c r="K58" i="5"/>
  <c r="L58" i="5" s="1"/>
  <c r="N58" i="5" s="1"/>
  <c r="K53" i="5"/>
  <c r="L53" i="5" s="1"/>
  <c r="K57" i="5"/>
  <c r="L57" i="5" s="1"/>
  <c r="N57" i="5" s="1"/>
  <c r="K64" i="5"/>
  <c r="L64" i="5" s="1"/>
  <c r="K56" i="5"/>
  <c r="L56" i="5" s="1"/>
  <c r="K59" i="5"/>
  <c r="L59" i="5" s="1"/>
  <c r="K60" i="5"/>
  <c r="L60" i="5" s="1"/>
  <c r="K62" i="5"/>
  <c r="L62" i="5" s="1"/>
  <c r="K61" i="5"/>
  <c r="L61" i="5" s="1"/>
  <c r="K54" i="5"/>
  <c r="L54" i="5" s="1"/>
  <c r="K63" i="5"/>
  <c r="L63" i="5" s="1"/>
  <c r="K55" i="5"/>
  <c r="L55" i="5" s="1"/>
  <c r="O18" i="5"/>
  <c r="O19" i="5" s="1"/>
  <c r="O20" i="5"/>
  <c r="O21" i="5" s="1"/>
  <c r="O25" i="5" s="1"/>
  <c r="AE15" i="5" l="1"/>
  <c r="U15" i="5"/>
  <c r="K15" i="5"/>
  <c r="U14" i="5"/>
  <c r="L65" i="5"/>
  <c r="M55" i="5" s="1"/>
  <c r="R34" i="5" s="1"/>
  <c r="K22" i="5"/>
  <c r="K23" i="5" s="1"/>
  <c r="N55" i="5"/>
  <c r="N56" i="5"/>
  <c r="N63" i="5"/>
  <c r="N64" i="5"/>
  <c r="N54" i="5"/>
  <c r="N61" i="5"/>
  <c r="N62" i="5"/>
  <c r="N60" i="5"/>
  <c r="N59" i="5"/>
  <c r="M61" i="5" l="1"/>
  <c r="R40" i="5" s="1"/>
  <c r="V35" i="5" s="1"/>
  <c r="M57" i="5"/>
  <c r="R36" i="5" s="1"/>
  <c r="V39" i="5" s="1"/>
  <c r="M58" i="5"/>
  <c r="R37" i="5" s="1"/>
  <c r="V38" i="5" s="1"/>
  <c r="M54" i="5"/>
  <c r="R33" i="5" s="1"/>
  <c r="S54" i="5" s="1"/>
  <c r="T54" i="5" s="1"/>
  <c r="M59" i="5"/>
  <c r="R38" i="5" s="1"/>
  <c r="V37" i="5" s="1"/>
  <c r="M60" i="5"/>
  <c r="R39" i="5" s="1"/>
  <c r="S60" i="5" s="1"/>
  <c r="T60" i="5" s="1"/>
  <c r="M64" i="5"/>
  <c r="R43" i="5" s="1"/>
  <c r="S64" i="5" s="1"/>
  <c r="T64" i="5" s="1"/>
  <c r="M62" i="5"/>
  <c r="R41" i="5" s="1"/>
  <c r="V34" i="5" s="1"/>
  <c r="M63" i="5"/>
  <c r="R42" i="5" s="1"/>
  <c r="S63" i="5" s="1"/>
  <c r="T63" i="5" s="1"/>
  <c r="M53" i="5"/>
  <c r="R32" i="5" s="1"/>
  <c r="T32" i="5" s="1"/>
  <c r="M56" i="5"/>
  <c r="R35" i="5" s="1"/>
  <c r="S56" i="5" s="1"/>
  <c r="T56" i="5" s="1"/>
  <c r="N65" i="5"/>
  <c r="S55" i="5"/>
  <c r="T55" i="5" s="1"/>
  <c r="V41" i="5"/>
  <c r="S61" i="5" l="1"/>
  <c r="T61" i="5" s="1"/>
  <c r="V61" i="5" s="1"/>
  <c r="S57" i="5"/>
  <c r="T57" i="5" s="1"/>
  <c r="V57" i="5" s="1"/>
  <c r="X57" i="5" s="1"/>
  <c r="V42" i="5"/>
  <c r="S58" i="5"/>
  <c r="T58" i="5" s="1"/>
  <c r="V58" i="5" s="1"/>
  <c r="T33" i="5"/>
  <c r="T34" i="5" s="1"/>
  <c r="T35" i="5" s="1"/>
  <c r="T36" i="5" s="1"/>
  <c r="T37" i="5" s="1"/>
  <c r="T38" i="5" s="1"/>
  <c r="T39" i="5" s="1"/>
  <c r="T40" i="5" s="1"/>
  <c r="T41" i="5" s="1"/>
  <c r="T42" i="5" s="1"/>
  <c r="T43" i="5" s="1"/>
  <c r="S62" i="5"/>
  <c r="T62" i="5" s="1"/>
  <c r="V62" i="5" s="1"/>
  <c r="S59" i="5"/>
  <c r="T59" i="5" s="1"/>
  <c r="V59" i="5" s="1"/>
  <c r="V32" i="5"/>
  <c r="V36" i="5"/>
  <c r="O59" i="5"/>
  <c r="V33" i="5"/>
  <c r="O63" i="5"/>
  <c r="V43" i="5"/>
  <c r="W43" i="5" s="1"/>
  <c r="S32" i="5"/>
  <c r="S33" i="5" s="1"/>
  <c r="S34" i="5" s="1"/>
  <c r="S35" i="5" s="1"/>
  <c r="S36" i="5" s="1"/>
  <c r="S37" i="5" s="1"/>
  <c r="S38" i="5" s="1"/>
  <c r="S39" i="5" s="1"/>
  <c r="S40" i="5" s="1"/>
  <c r="S41" i="5" s="1"/>
  <c r="S42" i="5" s="1"/>
  <c r="S43" i="5" s="1"/>
  <c r="O54" i="5"/>
  <c r="O62" i="5"/>
  <c r="O60" i="5"/>
  <c r="O55" i="5"/>
  <c r="O61" i="5"/>
  <c r="V40" i="5"/>
  <c r="S53" i="5"/>
  <c r="T53" i="5" s="1"/>
  <c r="V53" i="5" s="1"/>
  <c r="O64" i="5"/>
  <c r="V54" i="5"/>
  <c r="V55" i="5"/>
  <c r="X55" i="5" s="1"/>
  <c r="V56" i="5"/>
  <c r="O53" i="5"/>
  <c r="K24" i="5"/>
  <c r="K25" i="5" s="1"/>
  <c r="O57" i="5"/>
  <c r="O58" i="5"/>
  <c r="O56" i="5"/>
  <c r="V60" i="5"/>
  <c r="X60" i="5" s="1"/>
  <c r="V64" i="5"/>
  <c r="V63" i="5"/>
  <c r="X63" i="5" s="1"/>
  <c r="W42" i="5" l="1"/>
  <c r="W41" i="5" s="1"/>
  <c r="W40" i="5" s="1"/>
  <c r="W39" i="5" s="1"/>
  <c r="W38" i="5" s="1"/>
  <c r="W37" i="5" s="1"/>
  <c r="W36" i="5" s="1"/>
  <c r="W35" i="5" s="1"/>
  <c r="W34" i="5" s="1"/>
  <c r="W33" i="5" s="1"/>
  <c r="W32" i="5" s="1"/>
  <c r="X43" i="5"/>
  <c r="X42" i="5" s="1"/>
  <c r="Y18" i="5" s="1"/>
  <c r="Y19" i="5" s="1"/>
  <c r="T65" i="5"/>
  <c r="X54" i="5"/>
  <c r="X59" i="5"/>
  <c r="X62" i="5"/>
  <c r="X61" i="5"/>
  <c r="V65" i="5"/>
  <c r="W61" i="5" s="1"/>
  <c r="AB40" i="5" s="1"/>
  <c r="X64" i="5"/>
  <c r="Y64" i="5" s="1"/>
  <c r="X56" i="5"/>
  <c r="X58" i="5"/>
  <c r="Y20" i="5" l="1"/>
  <c r="Y21" i="5" s="1"/>
  <c r="Y25" i="5" s="1"/>
  <c r="X41" i="5"/>
  <c r="X40" i="5" s="1"/>
  <c r="X39" i="5" s="1"/>
  <c r="X38" i="5" s="1"/>
  <c r="X37" i="5" s="1"/>
  <c r="X36" i="5" s="1"/>
  <c r="X35" i="5" s="1"/>
  <c r="X34" i="5" s="1"/>
  <c r="X33" i="5" s="1"/>
  <c r="X32" i="5" s="1"/>
  <c r="W63" i="5"/>
  <c r="AB42" i="5" s="1"/>
  <c r="AC63" i="5" s="1"/>
  <c r="W56" i="5"/>
  <c r="AB35" i="5" s="1"/>
  <c r="AF40" i="5" s="1"/>
  <c r="W54" i="5"/>
  <c r="AB33" i="5" s="1"/>
  <c r="AF42" i="5" s="1"/>
  <c r="W64" i="5"/>
  <c r="AB43" i="5" s="1"/>
  <c r="AF32" i="5" s="1"/>
  <c r="W60" i="5"/>
  <c r="AB39" i="5" s="1"/>
  <c r="AC60" i="5" s="1"/>
  <c r="AC61" i="5"/>
  <c r="AF35" i="5"/>
  <c r="X65" i="5"/>
  <c r="W53" i="5"/>
  <c r="AB32" i="5" s="1"/>
  <c r="U26" i="5"/>
  <c r="U27" i="5" s="1"/>
  <c r="AE14" i="5"/>
  <c r="W55" i="5"/>
  <c r="AB34" i="5" s="1"/>
  <c r="W62" i="5"/>
  <c r="AB41" i="5" s="1"/>
  <c r="W58" i="5"/>
  <c r="AB37" i="5" s="1"/>
  <c r="W57" i="5"/>
  <c r="AB36" i="5" s="1"/>
  <c r="W59" i="5"/>
  <c r="AB38" i="5" s="1"/>
  <c r="AF36" i="5" l="1"/>
  <c r="U22" i="5"/>
  <c r="U23" i="5" s="1"/>
  <c r="AD63" i="5"/>
  <c r="AF63" i="5" s="1"/>
  <c r="AF33" i="5"/>
  <c r="AD60" i="5"/>
  <c r="AF60" i="5" s="1"/>
  <c r="Y56" i="5"/>
  <c r="AC64" i="5"/>
  <c r="AD64" i="5" s="1"/>
  <c r="AF64" i="5" s="1"/>
  <c r="AG64" i="5" s="1"/>
  <c r="Y61" i="5"/>
  <c r="Y54" i="5"/>
  <c r="Y62" i="5"/>
  <c r="AC54" i="5"/>
  <c r="AD54" i="5" s="1"/>
  <c r="AF54" i="5" s="1"/>
  <c r="Y58" i="5"/>
  <c r="Y59" i="5"/>
  <c r="AC56" i="5"/>
  <c r="AD56" i="5" s="1"/>
  <c r="AD61" i="5"/>
  <c r="AD32" i="5"/>
  <c r="AD33" i="5" s="1"/>
  <c r="AD34" i="5" s="1"/>
  <c r="AD35" i="5" s="1"/>
  <c r="AD36" i="5" s="1"/>
  <c r="AD37" i="5" s="1"/>
  <c r="AD38" i="5" s="1"/>
  <c r="AD39" i="5" s="1"/>
  <c r="AD40" i="5" s="1"/>
  <c r="AD41" i="5" s="1"/>
  <c r="AD42" i="5" s="1"/>
  <c r="AD43" i="5" s="1"/>
  <c r="AC32" i="5"/>
  <c r="AC33" i="5" s="1"/>
  <c r="AC34" i="5" s="1"/>
  <c r="AC35" i="5" s="1"/>
  <c r="AC36" i="5" s="1"/>
  <c r="AC37" i="5" s="1"/>
  <c r="AC38" i="5" s="1"/>
  <c r="AC39" i="5" s="1"/>
  <c r="AC40" i="5" s="1"/>
  <c r="AC41" i="5" s="1"/>
  <c r="AC42" i="5" s="1"/>
  <c r="AC43" i="5" s="1"/>
  <c r="AC53" i="5"/>
  <c r="AD53" i="5" s="1"/>
  <c r="AF43" i="5"/>
  <c r="AC57" i="5"/>
  <c r="AD57" i="5" s="1"/>
  <c r="AF39" i="5"/>
  <c r="AC58" i="5"/>
  <c r="AD58" i="5" s="1"/>
  <c r="AF38" i="5"/>
  <c r="AC62" i="5"/>
  <c r="AD62" i="5" s="1"/>
  <c r="AF34" i="5"/>
  <c r="AC55" i="5"/>
  <c r="AD55" i="5" s="1"/>
  <c r="AF41" i="5"/>
  <c r="AF37" i="5"/>
  <c r="AC59" i="5"/>
  <c r="AD59" i="5" s="1"/>
  <c r="Y53" i="5"/>
  <c r="AI53" i="5"/>
  <c r="U24" i="5"/>
  <c r="U25" i="5" s="1"/>
  <c r="Y60" i="5"/>
  <c r="Y57" i="5"/>
  <c r="Y63" i="5"/>
  <c r="Y55" i="5"/>
  <c r="AG63" i="5" l="1"/>
  <c r="E63" i="5"/>
  <c r="I52" i="11" s="1"/>
  <c r="K52" i="11" s="1"/>
  <c r="K49" i="9" s="1"/>
  <c r="AG60" i="5"/>
  <c r="E60" i="5"/>
  <c r="I49" i="11" s="1"/>
  <c r="K49" i="11" s="1"/>
  <c r="K46" i="9" s="1"/>
  <c r="AG54" i="5"/>
  <c r="E54" i="5"/>
  <c r="I43" i="11" s="1"/>
  <c r="K43" i="11" s="1"/>
  <c r="K40" i="9" s="1"/>
  <c r="AH60" i="5"/>
  <c r="AH63" i="5"/>
  <c r="AD65" i="5"/>
  <c r="AF53" i="5"/>
  <c r="E53" i="5" s="1"/>
  <c r="AF62" i="5"/>
  <c r="AF57" i="5"/>
  <c r="AH43" i="5"/>
  <c r="AH42" i="5" s="1"/>
  <c r="AH41" i="5" s="1"/>
  <c r="AH40" i="5" s="1"/>
  <c r="AG43" i="5"/>
  <c r="AG42" i="5" s="1"/>
  <c r="AG41" i="5" s="1"/>
  <c r="AG40" i="5" s="1"/>
  <c r="AG39" i="5" s="1"/>
  <c r="AH54" i="5"/>
  <c r="D54" i="5" s="1"/>
  <c r="AF55" i="5"/>
  <c r="AH64" i="5"/>
  <c r="AI64" i="5" s="1"/>
  <c r="AF56" i="5"/>
  <c r="AF59" i="5"/>
  <c r="AF58" i="5"/>
  <c r="AF61" i="5"/>
  <c r="AG61" i="5" l="1"/>
  <c r="E61" i="5"/>
  <c r="I50" i="11" s="1"/>
  <c r="K50" i="11" s="1"/>
  <c r="K47" i="9" s="1"/>
  <c r="AG58" i="5"/>
  <c r="E58" i="5"/>
  <c r="I47" i="11" s="1"/>
  <c r="K47" i="11" s="1"/>
  <c r="K44" i="9" s="1"/>
  <c r="AG57" i="5"/>
  <c r="E57" i="5"/>
  <c r="I46" i="11" s="1"/>
  <c r="K46" i="11" s="1"/>
  <c r="K43" i="9" s="1"/>
  <c r="AG55" i="5"/>
  <c r="E55" i="5"/>
  <c r="I44" i="11" s="1"/>
  <c r="K44" i="11" s="1"/>
  <c r="K41" i="9" s="1"/>
  <c r="AI63" i="5"/>
  <c r="D63" i="5"/>
  <c r="H52" i="11" s="1"/>
  <c r="F25" i="11" s="1"/>
  <c r="AG59" i="5"/>
  <c r="E59" i="5"/>
  <c r="I48" i="11" s="1"/>
  <c r="K48" i="11" s="1"/>
  <c r="K45" i="9" s="1"/>
  <c r="AG62" i="5"/>
  <c r="E62" i="5"/>
  <c r="I51" i="11" s="1"/>
  <c r="K51" i="11" s="1"/>
  <c r="K48" i="9" s="1"/>
  <c r="AG56" i="5"/>
  <c r="E56" i="5"/>
  <c r="I45" i="11" s="1"/>
  <c r="K45" i="11" s="1"/>
  <c r="K42" i="9" s="1"/>
  <c r="I42" i="11"/>
  <c r="K42" i="11" s="1"/>
  <c r="K39" i="9" s="1"/>
  <c r="H43" i="11"/>
  <c r="F16" i="11" s="1"/>
  <c r="AI60" i="5"/>
  <c r="D60" i="5"/>
  <c r="H49" i="11" s="1"/>
  <c r="F22" i="11" s="1"/>
  <c r="AH57" i="5"/>
  <c r="AI18" i="5"/>
  <c r="AI19" i="5" s="1"/>
  <c r="AH39" i="5"/>
  <c r="AH38" i="5" s="1"/>
  <c r="AH37" i="5" s="1"/>
  <c r="AH36" i="5" s="1"/>
  <c r="AH35" i="5" s="1"/>
  <c r="AH34" i="5" s="1"/>
  <c r="AH33" i="5" s="1"/>
  <c r="AH32" i="5" s="1"/>
  <c r="AG38" i="5"/>
  <c r="AG37" i="5" s="1"/>
  <c r="AG36" i="5" s="1"/>
  <c r="AG35" i="5" s="1"/>
  <c r="AG34" i="5" s="1"/>
  <c r="AG33" i="5" s="1"/>
  <c r="AG32" i="5" s="1"/>
  <c r="AI20" i="5"/>
  <c r="AI21" i="5" s="1"/>
  <c r="AI25" i="5" s="1"/>
  <c r="AH61" i="5"/>
  <c r="AI54" i="5"/>
  <c r="AH59" i="5"/>
  <c r="AF65" i="5"/>
  <c r="AG53" i="5"/>
  <c r="AH56" i="5"/>
  <c r="AH58" i="5"/>
  <c r="AH55" i="5"/>
  <c r="AH62" i="5"/>
  <c r="K53" i="11" l="1"/>
  <c r="AI62" i="5"/>
  <c r="D62" i="5"/>
  <c r="H51" i="11" s="1"/>
  <c r="F24" i="11" s="1"/>
  <c r="AI61" i="5"/>
  <c r="D61" i="5"/>
  <c r="H50" i="11" s="1"/>
  <c r="F23" i="11" s="1"/>
  <c r="AI55" i="5"/>
  <c r="D55" i="5"/>
  <c r="AI58" i="5"/>
  <c r="D58" i="5"/>
  <c r="H47" i="11" s="1"/>
  <c r="F20" i="11" s="1"/>
  <c r="E64" i="5"/>
  <c r="AI56" i="5"/>
  <c r="D56" i="5"/>
  <c r="H45" i="11" s="1"/>
  <c r="F18" i="11" s="1"/>
  <c r="I53" i="11"/>
  <c r="AI57" i="5"/>
  <c r="D57" i="5"/>
  <c r="H46" i="11" s="1"/>
  <c r="F19" i="11" s="1"/>
  <c r="AI59" i="5"/>
  <c r="D59" i="5"/>
  <c r="H48" i="11" s="1"/>
  <c r="F21" i="11" s="1"/>
  <c r="AE26" i="5"/>
  <c r="AE27" i="5" s="1"/>
  <c r="AE22" i="5"/>
  <c r="AE23" i="5" s="1"/>
  <c r="AH65" i="5"/>
  <c r="H44" i="11" l="1"/>
  <c r="F17" i="11" s="1"/>
  <c r="D64" i="5"/>
  <c r="AE24" i="5"/>
  <c r="AE25" i="5" s="1"/>
  <c r="H53" i="11" l="1"/>
  <c r="F26" i="11" s="1"/>
  <c r="H33" i="11" l="1"/>
  <c r="F6" i="11" s="1"/>
  <c r="H39" i="11" l="1"/>
  <c r="F12" i="11" s="1"/>
  <c r="I33" i="11"/>
  <c r="K33" i="11" s="1"/>
  <c r="H35" i="11" l="1"/>
  <c r="F8" i="11" s="1"/>
  <c r="H38" i="11"/>
  <c r="F11" i="11" s="1"/>
  <c r="I39" i="11"/>
  <c r="I35" i="11" l="1"/>
  <c r="I34" i="11" s="1"/>
  <c r="I36" i="11" s="1"/>
  <c r="I37" i="11" s="1"/>
  <c r="K39" i="11"/>
  <c r="I38" i="11"/>
  <c r="K38" i="11" l="1"/>
  <c r="K35" i="11"/>
  <c r="K34" i="11" s="1"/>
  <c r="K36" i="11" l="1"/>
  <c r="K37" i="11" s="1"/>
  <c r="F13" i="9"/>
  <c r="T11" i="9" l="1"/>
  <c r="T16" i="9" s="1"/>
  <c r="T39" i="9"/>
  <c r="T36" i="9" s="1"/>
  <c r="T40" i="9" s="1"/>
  <c r="Q36" i="11" l="1"/>
  <c r="G9" i="11" s="1"/>
  <c r="Q37" i="11" l="1"/>
  <c r="G10" i="11" s="1"/>
  <c r="K51" i="9" l="1"/>
  <c r="C45" i="9" s="1"/>
  <c r="C41" i="9" l="1"/>
  <c r="O24" i="9" s="1"/>
  <c r="C40" i="9"/>
  <c r="O23" i="9" s="1"/>
  <c r="F12" i="9"/>
  <c r="C42" i="9"/>
  <c r="C39" i="9"/>
  <c r="C46" i="9"/>
  <c r="O28" i="9"/>
  <c r="C50" i="9"/>
  <c r="C49" i="9"/>
  <c r="C47" i="9"/>
  <c r="C44" i="9"/>
  <c r="C48" i="9"/>
  <c r="C43" i="9"/>
  <c r="M10" i="9" l="1"/>
  <c r="K17" i="9" s="1"/>
  <c r="T38" i="9"/>
  <c r="O25" i="9"/>
  <c r="O29" i="9"/>
  <c r="O26" i="9"/>
  <c r="O31" i="9"/>
  <c r="O22" i="9"/>
  <c r="D39" i="9"/>
  <c r="E39" i="9"/>
  <c r="O27" i="9"/>
  <c r="O30" i="9"/>
  <c r="O32" i="9"/>
  <c r="O33" i="9"/>
  <c r="T8" i="9" l="1"/>
  <c r="T35" i="9" s="1"/>
  <c r="K31" i="9"/>
  <c r="K32" i="9" s="1"/>
  <c r="K34" i="9" s="1"/>
  <c r="T12" i="9" s="1"/>
  <c r="T17" i="9" s="1"/>
  <c r="T19" i="9" s="1"/>
  <c r="R31" i="9" s="1"/>
  <c r="S31" i="9" s="1"/>
  <c r="Q22" i="9"/>
  <c r="E40" i="9"/>
  <c r="P22" i="9"/>
  <c r="D40" i="9"/>
  <c r="R32" i="9" l="1"/>
  <c r="S32" i="9" s="1"/>
  <c r="T32" i="9" s="1"/>
  <c r="R26" i="9"/>
  <c r="S26" i="9" s="1"/>
  <c r="T26" i="9" s="1"/>
  <c r="R30" i="9"/>
  <c r="S30" i="9" s="1"/>
  <c r="L47" i="9" s="1"/>
  <c r="M50" i="11" s="1"/>
  <c r="R28" i="9"/>
  <c r="S28" i="9" s="1"/>
  <c r="L45" i="9" s="1"/>
  <c r="R27" i="9"/>
  <c r="S27" i="9" s="1"/>
  <c r="T27" i="9" s="1"/>
  <c r="R23" i="9"/>
  <c r="S23" i="9" s="1"/>
  <c r="L40" i="9" s="1"/>
  <c r="R24" i="9"/>
  <c r="S24" i="9" s="1"/>
  <c r="T24" i="9" s="1"/>
  <c r="R33" i="9"/>
  <c r="S33" i="9" s="1"/>
  <c r="L50" i="9" s="1"/>
  <c r="M50" i="9" s="1"/>
  <c r="R25" i="9"/>
  <c r="S25" i="9" s="1"/>
  <c r="T25" i="9" s="1"/>
  <c r="R29" i="9"/>
  <c r="S29" i="9" s="1"/>
  <c r="T31" i="9"/>
  <c r="L48" i="9"/>
  <c r="M48" i="9" s="1"/>
  <c r="R22" i="9"/>
  <c r="S22" i="9" s="1"/>
  <c r="T37" i="9"/>
  <c r="T41" i="9"/>
  <c r="D41" i="9"/>
  <c r="P23" i="9"/>
  <c r="Q23" i="9"/>
  <c r="E41" i="9"/>
  <c r="L49" i="9" l="1"/>
  <c r="M52" i="11" s="1"/>
  <c r="L52" i="11" s="1"/>
  <c r="T28" i="9"/>
  <c r="L43" i="9"/>
  <c r="M43" i="9" s="1"/>
  <c r="L44" i="9"/>
  <c r="L41" i="9"/>
  <c r="M41" i="9" s="1"/>
  <c r="M47" i="9"/>
  <c r="T30" i="9"/>
  <c r="T23" i="9"/>
  <c r="M51" i="11"/>
  <c r="P51" i="11" s="1"/>
  <c r="H14" i="12" s="1"/>
  <c r="K14" i="12" s="1"/>
  <c r="M14" i="12" s="1"/>
  <c r="T33" i="9"/>
  <c r="L42" i="9"/>
  <c r="M42" i="9" s="1"/>
  <c r="T29" i="9"/>
  <c r="L46" i="9"/>
  <c r="M45" i="9"/>
  <c r="M48" i="11"/>
  <c r="S34" i="9"/>
  <c r="L39" i="9"/>
  <c r="T22" i="9"/>
  <c r="M43" i="11"/>
  <c r="M40" i="9"/>
  <c r="Q24" i="9"/>
  <c r="E42" i="9"/>
  <c r="L50" i="11"/>
  <c r="P50" i="11"/>
  <c r="H13" i="12" s="1"/>
  <c r="K13" i="12" s="1"/>
  <c r="M13" i="12" s="1"/>
  <c r="P24" i="9"/>
  <c r="D42" i="9"/>
  <c r="P52" i="11" l="1"/>
  <c r="H15" i="12" s="1"/>
  <c r="K15" i="12" s="1"/>
  <c r="M15" i="12" s="1"/>
  <c r="M44" i="11"/>
  <c r="L44" i="11" s="1"/>
  <c r="M49" i="9"/>
  <c r="M46" i="11"/>
  <c r="L46" i="11" s="1"/>
  <c r="L51" i="11"/>
  <c r="M44" i="9"/>
  <c r="M47" i="11"/>
  <c r="M45" i="11"/>
  <c r="P45" i="11" s="1"/>
  <c r="H8" i="12" s="1"/>
  <c r="K8" i="12" s="1"/>
  <c r="M8" i="12" s="1"/>
  <c r="T34" i="9"/>
  <c r="T50" i="9" s="1"/>
  <c r="T44" i="9" s="1"/>
  <c r="M49" i="11"/>
  <c r="M46" i="9"/>
  <c r="M39" i="9"/>
  <c r="L51" i="9"/>
  <c r="M42" i="11"/>
  <c r="P48" i="11"/>
  <c r="H11" i="12" s="1"/>
  <c r="K11" i="12" s="1"/>
  <c r="M11" i="12" s="1"/>
  <c r="L48" i="11"/>
  <c r="L43" i="11"/>
  <c r="P43" i="11"/>
  <c r="H6" i="12" s="1"/>
  <c r="K6" i="12" s="1"/>
  <c r="M6" i="12" s="1"/>
  <c r="Q25" i="9"/>
  <c r="E43" i="9"/>
  <c r="P25" i="9"/>
  <c r="D43" i="9"/>
  <c r="P44" i="11" l="1"/>
  <c r="H7" i="12" s="1"/>
  <c r="K7" i="12" s="1"/>
  <c r="M7" i="12" s="1"/>
  <c r="L45" i="11"/>
  <c r="P46" i="11"/>
  <c r="H9" i="12" s="1"/>
  <c r="K9" i="12" s="1"/>
  <c r="M9" i="12" s="1"/>
  <c r="T49" i="9"/>
  <c r="T43" i="9" s="1"/>
  <c r="T45" i="9" s="1"/>
  <c r="T42" i="9" s="1"/>
  <c r="T46" i="9" s="1"/>
  <c r="L47" i="11"/>
  <c r="P47" i="11"/>
  <c r="H10" i="12" s="1"/>
  <c r="K10" i="12" s="1"/>
  <c r="M10" i="12" s="1"/>
  <c r="P49" i="11"/>
  <c r="H12" i="12" s="1"/>
  <c r="K12" i="12" s="1"/>
  <c r="M12" i="12" s="1"/>
  <c r="L49" i="11"/>
  <c r="M51" i="9"/>
  <c r="L42" i="11"/>
  <c r="P42" i="11"/>
  <c r="H5" i="12" s="1"/>
  <c r="K5" i="12" s="1"/>
  <c r="M5" i="12" s="1"/>
  <c r="M53" i="11"/>
  <c r="M33" i="11" s="1"/>
  <c r="P26" i="9"/>
  <c r="D44" i="9"/>
  <c r="Q26" i="9"/>
  <c r="E44" i="9"/>
  <c r="T51" i="9" l="1"/>
  <c r="T48" i="9" s="1"/>
  <c r="T52" i="9" s="1"/>
  <c r="L53" i="11"/>
  <c r="P53" i="11"/>
  <c r="M35" i="11"/>
  <c r="M39" i="11" s="1"/>
  <c r="P33" i="11"/>
  <c r="D4" i="12" s="1"/>
  <c r="L33" i="11"/>
  <c r="Q27" i="9"/>
  <c r="E45" i="9"/>
  <c r="P27" i="9"/>
  <c r="D45" i="9"/>
  <c r="H16" i="12" l="1"/>
  <c r="L39" i="11"/>
  <c r="P39" i="11"/>
  <c r="D5" i="12" s="1"/>
  <c r="M38" i="11"/>
  <c r="E46" i="9"/>
  <c r="Q28" i="9"/>
  <c r="P28" i="9"/>
  <c r="D46" i="9"/>
  <c r="I15" i="12" l="1"/>
  <c r="I14" i="12"/>
  <c r="I10" i="12"/>
  <c r="I13" i="12"/>
  <c r="I9" i="12"/>
  <c r="I8" i="12"/>
  <c r="I6" i="12"/>
  <c r="I5" i="12"/>
  <c r="I11" i="12"/>
  <c r="I7" i="12"/>
  <c r="I12" i="12"/>
  <c r="P35" i="11"/>
  <c r="P34" i="11" s="1"/>
  <c r="P36" i="11" s="1"/>
  <c r="P37" i="11" s="1"/>
  <c r="P38" i="11"/>
  <c r="L38" i="11"/>
  <c r="L35" i="11"/>
  <c r="L34" i="11" s="1"/>
  <c r="L36" i="11" s="1"/>
  <c r="L37" i="11" s="1"/>
  <c r="D47" i="9"/>
  <c r="P29" i="9"/>
  <c r="Q29" i="9"/>
  <c r="E47" i="9"/>
  <c r="Q47" i="11" l="1"/>
  <c r="G20" i="11" s="1"/>
  <c r="D48" i="9"/>
  <c r="P30" i="9"/>
  <c r="Q30" i="9"/>
  <c r="E48" i="9"/>
  <c r="Q43" i="11" l="1"/>
  <c r="G16" i="11" s="1"/>
  <c r="R47" i="11"/>
  <c r="D73" i="11" s="1"/>
  <c r="K44" i="16" s="1"/>
  <c r="Q52" i="11"/>
  <c r="G25" i="11" s="1"/>
  <c r="Q49" i="11"/>
  <c r="G22" i="11" s="1"/>
  <c r="Q45" i="11"/>
  <c r="G18" i="11" s="1"/>
  <c r="Q51" i="11"/>
  <c r="G24" i="11" s="1"/>
  <c r="Q50" i="11"/>
  <c r="G23" i="11" s="1"/>
  <c r="Q48" i="11"/>
  <c r="G21" i="11" s="1"/>
  <c r="Q42" i="11"/>
  <c r="G15" i="11" s="1"/>
  <c r="K16" i="12"/>
  <c r="L10" i="12" s="1"/>
  <c r="Q44" i="11"/>
  <c r="G17" i="11" s="1"/>
  <c r="Q46" i="11"/>
  <c r="G19" i="11" s="1"/>
  <c r="Q31" i="9"/>
  <c r="E49" i="9"/>
  <c r="P31" i="9"/>
  <c r="D49" i="9"/>
  <c r="L5" i="12" l="1"/>
  <c r="L12" i="12"/>
  <c r="L15" i="12"/>
  <c r="L7" i="12"/>
  <c r="L8" i="12"/>
  <c r="R52" i="11"/>
  <c r="D78" i="11" s="1"/>
  <c r="R44" i="11"/>
  <c r="D70" i="11" s="1"/>
  <c r="K41" i="16" s="1"/>
  <c r="R45" i="11"/>
  <c r="D71" i="11" s="1"/>
  <c r="K42" i="16" s="1"/>
  <c r="Q53" i="11"/>
  <c r="G26" i="11" s="1"/>
  <c r="R42" i="11"/>
  <c r="L13" i="12"/>
  <c r="M16" i="12"/>
  <c r="N6" i="12" s="1"/>
  <c r="L9" i="12"/>
  <c r="L11" i="12"/>
  <c r="R50" i="11"/>
  <c r="D76" i="11" s="1"/>
  <c r="K47" i="16" s="1"/>
  <c r="L6" i="12"/>
  <c r="R51" i="11"/>
  <c r="D77" i="11" s="1"/>
  <c r="R49" i="11"/>
  <c r="D75" i="11" s="1"/>
  <c r="K46" i="16" s="1"/>
  <c r="R46" i="11"/>
  <c r="D72" i="11" s="1"/>
  <c r="K43" i="16" s="1"/>
  <c r="R48" i="11"/>
  <c r="D74" i="11" s="1"/>
  <c r="K45" i="16" s="1"/>
  <c r="L14" i="12"/>
  <c r="R43" i="11"/>
  <c r="D69" i="11" s="1"/>
  <c r="K40" i="16" s="1"/>
  <c r="E50" i="9"/>
  <c r="Q33" i="9" s="1"/>
  <c r="Q32" i="9"/>
  <c r="P32" i="9"/>
  <c r="D50" i="9"/>
  <c r="P33" i="9" s="1"/>
  <c r="K48" i="16" l="1"/>
  <c r="N12" i="12"/>
  <c r="N5" i="12"/>
  <c r="N8" i="12"/>
  <c r="N7" i="12"/>
  <c r="N14" i="12"/>
  <c r="N11" i="12"/>
  <c r="N13" i="12"/>
  <c r="N9" i="12"/>
  <c r="N10" i="12"/>
  <c r="N15" i="12"/>
  <c r="D68" i="11"/>
  <c r="R53" i="11"/>
  <c r="K49" i="16"/>
  <c r="Q33" i="11"/>
  <c r="G6" i="11" s="1"/>
  <c r="K39" i="16" l="1"/>
  <c r="K51" i="16" s="1"/>
  <c r="C48" i="16" s="1"/>
  <c r="O31" i="16" s="1"/>
  <c r="D79" i="11"/>
  <c r="D59" i="11" s="1"/>
  <c r="Q35" i="11"/>
  <c r="G8" i="11" s="1"/>
  <c r="R33" i="11"/>
  <c r="C49" i="16" l="1"/>
  <c r="O32" i="16" s="1"/>
  <c r="Q39" i="11"/>
  <c r="G12" i="11" s="1"/>
  <c r="Q38" i="11"/>
  <c r="G11" i="11" s="1"/>
  <c r="C39" i="16"/>
  <c r="F12" i="16"/>
  <c r="T38" i="16" s="1"/>
  <c r="C50" i="16"/>
  <c r="O33" i="16" s="1"/>
  <c r="C44" i="16"/>
  <c r="O27" i="16" s="1"/>
  <c r="C42" i="16"/>
  <c r="O25" i="16" s="1"/>
  <c r="C47" i="16"/>
  <c r="O30" i="16" s="1"/>
  <c r="C46" i="16"/>
  <c r="O29" i="16" s="1"/>
  <c r="C43" i="16"/>
  <c r="O26" i="16" s="1"/>
  <c r="C40" i="16"/>
  <c r="O23" i="16" s="1"/>
  <c r="C41" i="16"/>
  <c r="O24" i="16" s="1"/>
  <c r="C45" i="16"/>
  <c r="O28" i="16" s="1"/>
  <c r="D39" i="16" l="1"/>
  <c r="E39" i="16"/>
  <c r="O22" i="16"/>
  <c r="R39" i="11"/>
  <c r="P22" i="16" l="1"/>
  <c r="D40" i="16"/>
  <c r="E40" i="16"/>
  <c r="Q22" i="16"/>
  <c r="R38" i="11"/>
  <c r="D65" i="11"/>
  <c r="R35" i="11"/>
  <c r="R34" i="11" s="1"/>
  <c r="R36" i="11" s="1"/>
  <c r="R37" i="11" s="1"/>
  <c r="P23" i="16" l="1"/>
  <c r="D41" i="16"/>
  <c r="D64" i="11"/>
  <c r="D61" i="11"/>
  <c r="D60" i="11" s="1"/>
  <c r="E41" i="16"/>
  <c r="Q23" i="16"/>
  <c r="F13" i="16" l="1"/>
  <c r="D62" i="11"/>
  <c r="D63" i="11" s="1"/>
  <c r="Q24" i="16"/>
  <c r="E42" i="16"/>
  <c r="P24" i="16"/>
  <c r="D42" i="16"/>
  <c r="D43" i="16" l="1"/>
  <c r="P25" i="16"/>
  <c r="E43" i="16"/>
  <c r="Q25" i="16"/>
  <c r="M10" i="16"/>
  <c r="K17" i="16" s="1"/>
  <c r="T11" i="16"/>
  <c r="T16" i="16" s="1"/>
  <c r="T39" i="16"/>
  <c r="T36" i="16" s="1"/>
  <c r="T40" i="16" s="1"/>
  <c r="K31" i="16" l="1"/>
  <c r="K32" i="16" s="1"/>
  <c r="K34" i="16" s="1"/>
  <c r="T12" i="16" s="1"/>
  <c r="T17" i="16" s="1"/>
  <c r="T19" i="16" s="1"/>
  <c r="T8" i="16"/>
  <c r="T35" i="16" s="1"/>
  <c r="Q26" i="16"/>
  <c r="E44" i="16"/>
  <c r="D44" i="16"/>
  <c r="P26" i="16"/>
  <c r="R25" i="16" l="1"/>
  <c r="S25" i="16" s="1"/>
  <c r="R32" i="16"/>
  <c r="S32" i="16" s="1"/>
  <c r="R33" i="16"/>
  <c r="S33" i="16" s="1"/>
  <c r="R26" i="16"/>
  <c r="S26" i="16" s="1"/>
  <c r="R29" i="16"/>
  <c r="S29" i="16" s="1"/>
  <c r="R23" i="16"/>
  <c r="S23" i="16" s="1"/>
  <c r="R24" i="16"/>
  <c r="S24" i="16" s="1"/>
  <c r="R22" i="16"/>
  <c r="S22" i="16" s="1"/>
  <c r="R31" i="16"/>
  <c r="S31" i="16" s="1"/>
  <c r="R28" i="16"/>
  <c r="S28" i="16" s="1"/>
  <c r="R27" i="16"/>
  <c r="S27" i="16" s="1"/>
  <c r="R30" i="16"/>
  <c r="S30" i="16" s="1"/>
  <c r="T37" i="16"/>
  <c r="T41" i="16"/>
  <c r="P27" i="16"/>
  <c r="D45" i="16"/>
  <c r="Q27" i="16"/>
  <c r="E45" i="16"/>
  <c r="L39" i="16" l="1"/>
  <c r="T22" i="16"/>
  <c r="S34" i="16"/>
  <c r="L41" i="16"/>
  <c r="T24" i="16"/>
  <c r="T23" i="16"/>
  <c r="L40" i="16"/>
  <c r="P28" i="16"/>
  <c r="D46" i="16"/>
  <c r="T29" i="16"/>
  <c r="L46" i="16"/>
  <c r="T30" i="16"/>
  <c r="L47" i="16"/>
  <c r="T26" i="16"/>
  <c r="L43" i="16"/>
  <c r="T27" i="16"/>
  <c r="L44" i="16"/>
  <c r="L50" i="16"/>
  <c r="M50" i="16" s="1"/>
  <c r="T33" i="16"/>
  <c r="E46" i="16"/>
  <c r="Q28" i="16"/>
  <c r="T28" i="16"/>
  <c r="L45" i="16"/>
  <c r="T32" i="16"/>
  <c r="L49" i="16"/>
  <c r="L48" i="16"/>
  <c r="T31" i="16"/>
  <c r="T25" i="16"/>
  <c r="L42" i="16"/>
  <c r="M42" i="16" l="1"/>
  <c r="F71" i="11"/>
  <c r="M41" i="16"/>
  <c r="F70" i="11"/>
  <c r="M43" i="16"/>
  <c r="F72" i="11"/>
  <c r="M45" i="16"/>
  <c r="F74" i="11"/>
  <c r="M48" i="16"/>
  <c r="F77" i="11"/>
  <c r="T34" i="16"/>
  <c r="T50" i="16" s="1"/>
  <c r="F69" i="11"/>
  <c r="M40" i="16"/>
  <c r="M47" i="16"/>
  <c r="F76" i="11"/>
  <c r="Q29" i="16"/>
  <c r="E47" i="16"/>
  <c r="M46" i="16"/>
  <c r="F75" i="11"/>
  <c r="M49" i="16"/>
  <c r="F78" i="11"/>
  <c r="F73" i="11"/>
  <c r="M44" i="16"/>
  <c r="D47" i="16"/>
  <c r="P29" i="16"/>
  <c r="F68" i="11"/>
  <c r="L51" i="16"/>
  <c r="M39" i="16"/>
  <c r="I74" i="11" l="1"/>
  <c r="H11" i="24" s="1"/>
  <c r="E74" i="11"/>
  <c r="E73" i="11"/>
  <c r="I73" i="11"/>
  <c r="H10" i="24" s="1"/>
  <c r="E76" i="11"/>
  <c r="I76" i="11"/>
  <c r="H13" i="24" s="1"/>
  <c r="E72" i="11"/>
  <c r="I72" i="11"/>
  <c r="H9" i="24" s="1"/>
  <c r="M51" i="16"/>
  <c r="E69" i="11"/>
  <c r="I69" i="11"/>
  <c r="H6" i="24" s="1"/>
  <c r="I70" i="11"/>
  <c r="H7" i="24" s="1"/>
  <c r="E70" i="11"/>
  <c r="E75" i="11"/>
  <c r="I75" i="11"/>
  <c r="H12" i="24" s="1"/>
  <c r="I71" i="11"/>
  <c r="H8" i="24" s="1"/>
  <c r="E71" i="11"/>
  <c r="D48" i="16"/>
  <c r="P30" i="16"/>
  <c r="I78" i="11"/>
  <c r="H15" i="24" s="1"/>
  <c r="E78" i="11"/>
  <c r="T49" i="16"/>
  <c r="T43" i="16" s="1"/>
  <c r="T44" i="16"/>
  <c r="E68" i="11"/>
  <c r="I68" i="11"/>
  <c r="H5" i="24" s="1"/>
  <c r="F79" i="11"/>
  <c r="F59" i="11" s="1"/>
  <c r="I77" i="11"/>
  <c r="H14" i="24" s="1"/>
  <c r="E77" i="11"/>
  <c r="E48" i="16"/>
  <c r="Q30" i="16"/>
  <c r="K9" i="24" l="1"/>
  <c r="M9" i="24" s="1"/>
  <c r="K7" i="24"/>
  <c r="M7" i="24" s="1"/>
  <c r="K6" i="24"/>
  <c r="K12" i="24"/>
  <c r="K10" i="24"/>
  <c r="M10" i="24" s="1"/>
  <c r="K8" i="24"/>
  <c r="M8" i="24" s="1"/>
  <c r="K13" i="24"/>
  <c r="M13" i="24" s="1"/>
  <c r="K15" i="24"/>
  <c r="M15" i="24" s="1"/>
  <c r="K14" i="24"/>
  <c r="K5" i="24"/>
  <c r="M5" i="24" s="1"/>
  <c r="H16" i="24"/>
  <c r="I9" i="24" s="1"/>
  <c r="K11" i="24"/>
  <c r="J74" i="11" s="1"/>
  <c r="H21" i="11" s="1"/>
  <c r="T51" i="16"/>
  <c r="T48" i="16" s="1"/>
  <c r="T52" i="16" s="1"/>
  <c r="T45" i="16"/>
  <c r="T42" i="16" s="1"/>
  <c r="T46" i="16" s="1"/>
  <c r="E49" i="16"/>
  <c r="Q31" i="16"/>
  <c r="F61" i="11"/>
  <c r="F65" i="11" s="1"/>
  <c r="I59" i="11"/>
  <c r="D4" i="24" s="1"/>
  <c r="E59" i="11"/>
  <c r="D49" i="16"/>
  <c r="P31" i="16"/>
  <c r="E79" i="11"/>
  <c r="I79" i="11"/>
  <c r="I11" i="24" l="1"/>
  <c r="I8" i="24"/>
  <c r="K76" i="11"/>
  <c r="I6" i="24"/>
  <c r="K68" i="11"/>
  <c r="J68" i="11"/>
  <c r="H15" i="11" s="1"/>
  <c r="K16" i="24"/>
  <c r="L11" i="24" s="1"/>
  <c r="I10" i="24"/>
  <c r="J70" i="11"/>
  <c r="H17" i="11" s="1"/>
  <c r="K78" i="11"/>
  <c r="J78" i="11"/>
  <c r="H25" i="11" s="1"/>
  <c r="I5" i="24"/>
  <c r="J75" i="11"/>
  <c r="H22" i="11" s="1"/>
  <c r="I7" i="24"/>
  <c r="J69" i="11"/>
  <c r="H16" i="11" s="1"/>
  <c r="I13" i="24"/>
  <c r="M12" i="24"/>
  <c r="K75" i="11" s="1"/>
  <c r="K72" i="11"/>
  <c r="J73" i="11"/>
  <c r="H20" i="11" s="1"/>
  <c r="J77" i="11"/>
  <c r="H24" i="11" s="1"/>
  <c r="M14" i="24"/>
  <c r="K71" i="11"/>
  <c r="I12" i="24"/>
  <c r="J72" i="11"/>
  <c r="H19" i="11" s="1"/>
  <c r="K73" i="11"/>
  <c r="I15" i="24"/>
  <c r="K70" i="11"/>
  <c r="J76" i="11"/>
  <c r="H23" i="11" s="1"/>
  <c r="M11" i="24"/>
  <c r="I14" i="24"/>
  <c r="J71" i="11"/>
  <c r="H18" i="11" s="1"/>
  <c r="M6" i="24"/>
  <c r="D50" i="16"/>
  <c r="P33" i="16" s="1"/>
  <c r="P32" i="16"/>
  <c r="Q32" i="16"/>
  <c r="E50" i="16"/>
  <c r="Q33" i="16" s="1"/>
  <c r="F64" i="11"/>
  <c r="E65" i="11"/>
  <c r="E61" i="11" s="1"/>
  <c r="E60" i="11" s="1"/>
  <c r="E62" i="11" s="1"/>
  <c r="E63" i="11" s="1"/>
  <c r="I65" i="11"/>
  <c r="K69" i="11" l="1"/>
  <c r="M16" i="24"/>
  <c r="K77" i="11"/>
  <c r="L10" i="24"/>
  <c r="L15" i="24"/>
  <c r="L8" i="24"/>
  <c r="L14" i="24"/>
  <c r="K74" i="11"/>
  <c r="L9" i="24"/>
  <c r="L7" i="24"/>
  <c r="L13" i="24"/>
  <c r="L12" i="24"/>
  <c r="I64" i="11"/>
  <c r="D5" i="24"/>
  <c r="L6" i="24"/>
  <c r="L5" i="24"/>
  <c r="I61" i="11"/>
  <c r="I60" i="11" s="1"/>
  <c r="E64" i="11"/>
  <c r="N12" i="24" l="1"/>
  <c r="N8" i="24"/>
  <c r="N7" i="24"/>
  <c r="N9" i="24"/>
  <c r="N13" i="24"/>
  <c r="N5" i="24"/>
  <c r="N15" i="24"/>
  <c r="N10" i="24"/>
  <c r="N6" i="24"/>
  <c r="N11" i="24"/>
  <c r="N14" i="24"/>
  <c r="I62" i="11"/>
  <c r="I63" i="11" s="1"/>
  <c r="D10" i="24"/>
  <c r="L73" i="11"/>
  <c r="K44" i="17" s="1"/>
  <c r="L68" i="11"/>
  <c r="K39" i="17" s="1"/>
  <c r="D14" i="24" l="1"/>
  <c r="D12" i="24"/>
  <c r="D13" i="24" s="1"/>
  <c r="L76" i="11"/>
  <c r="K47" i="17" s="1"/>
  <c r="L77" i="11"/>
  <c r="K48" i="17" s="1"/>
  <c r="L72" i="11"/>
  <c r="K43" i="17" s="1"/>
  <c r="L70" i="11"/>
  <c r="K41" i="17" s="1"/>
  <c r="L74" i="11"/>
  <c r="K45" i="17" s="1"/>
  <c r="J79" i="11"/>
  <c r="H26" i="11" s="1"/>
  <c r="D15" i="24" l="1"/>
  <c r="D16" i="24" s="1"/>
  <c r="E26" i="24" s="1"/>
  <c r="G26" i="24" s="1"/>
  <c r="L75" i="11"/>
  <c r="K46" i="17" s="1"/>
  <c r="L69" i="11"/>
  <c r="K40" i="17" s="1"/>
  <c r="L78" i="11"/>
  <c r="K49" i="17" s="1"/>
  <c r="L71" i="11"/>
  <c r="K42" i="17" s="1"/>
  <c r="J59" i="11"/>
  <c r="H6" i="11" s="1"/>
  <c r="K79" i="11"/>
  <c r="E28" i="24" l="1"/>
  <c r="G28" i="24" s="1"/>
  <c r="E25" i="24"/>
  <c r="G25" i="24" s="1"/>
  <c r="E29" i="24"/>
  <c r="G29" i="24" s="1"/>
  <c r="E27" i="24"/>
  <c r="G27" i="24" s="1"/>
  <c r="E30" i="24"/>
  <c r="G30" i="24" s="1"/>
  <c r="E24" i="24"/>
  <c r="G24" i="24" s="1"/>
  <c r="J61" i="11"/>
  <c r="H8" i="11" s="1"/>
  <c r="L79" i="11"/>
  <c r="L59" i="11" s="1"/>
  <c r="K51" i="17"/>
  <c r="C46" i="17" s="1"/>
  <c r="O29" i="17" s="1"/>
  <c r="K59" i="11"/>
  <c r="J64" i="11" l="1"/>
  <c r="H11" i="11" s="1"/>
  <c r="C40" i="17"/>
  <c r="O23" i="17" s="1"/>
  <c r="C42" i="17"/>
  <c r="O25" i="17" s="1"/>
  <c r="C49" i="17"/>
  <c r="O32" i="17" s="1"/>
  <c r="C50" i="17"/>
  <c r="O33" i="17" s="1"/>
  <c r="F12" i="17"/>
  <c r="C48" i="17"/>
  <c r="O31" i="17" s="1"/>
  <c r="C39" i="17"/>
  <c r="C44" i="17"/>
  <c r="O27" i="17" s="1"/>
  <c r="C43" i="17"/>
  <c r="O26" i="17" s="1"/>
  <c r="C41" i="17"/>
  <c r="O24" i="17" s="1"/>
  <c r="C47" i="17"/>
  <c r="O30" i="17" s="1"/>
  <c r="C45" i="17"/>
  <c r="O28" i="17" s="1"/>
  <c r="J65" i="11"/>
  <c r="H12" i="11" s="1"/>
  <c r="O22" i="17" l="1"/>
  <c r="D39" i="17"/>
  <c r="E39" i="17"/>
  <c r="T38" i="17"/>
  <c r="K65" i="11"/>
  <c r="L65" i="11" s="1"/>
  <c r="Q22" i="17" l="1"/>
  <c r="E40" i="17"/>
  <c r="P22" i="17"/>
  <c r="D40" i="17"/>
  <c r="K64" i="11"/>
  <c r="K61" i="11"/>
  <c r="K60" i="11" s="1"/>
  <c r="K62" i="11" s="1"/>
  <c r="K63" i="11" s="1"/>
  <c r="P23" i="17" l="1"/>
  <c r="D41" i="17"/>
  <c r="E41" i="17"/>
  <c r="Q23" i="17"/>
  <c r="L64" i="11"/>
  <c r="L61" i="11"/>
  <c r="L60" i="11" s="1"/>
  <c r="L62" i="11" l="1"/>
  <c r="L63" i="11" s="1"/>
  <c r="F13" i="17"/>
  <c r="E42" i="17"/>
  <c r="Q24" i="17"/>
  <c r="D42" i="17"/>
  <c r="P24" i="17"/>
  <c r="D43" i="17" l="1"/>
  <c r="P25" i="17"/>
  <c r="T11" i="17"/>
  <c r="T16" i="17" s="1"/>
  <c r="T39" i="17"/>
  <c r="T36" i="17" s="1"/>
  <c r="T40" i="17" s="1"/>
  <c r="M10" i="17"/>
  <c r="K17" i="17" s="1"/>
  <c r="E43" i="17"/>
  <c r="Q25" i="17"/>
  <c r="E44" i="17" l="1"/>
  <c r="Q26" i="17"/>
  <c r="T8" i="17"/>
  <c r="T35" i="17" s="1"/>
  <c r="K31" i="17"/>
  <c r="K32" i="17" s="1"/>
  <c r="K34" i="17" s="1"/>
  <c r="T12" i="17" s="1"/>
  <c r="T17" i="17" s="1"/>
  <c r="T19" i="17" s="1"/>
  <c r="R33" i="17" s="1"/>
  <c r="S33" i="17" s="1"/>
  <c r="P26" i="17"/>
  <c r="D44" i="17"/>
  <c r="C64" i="5"/>
  <c r="E53" i="11"/>
  <c r="R28" i="17" l="1"/>
  <c r="S28" i="17" s="1"/>
  <c r="L45" i="17" s="1"/>
  <c r="R25" i="17"/>
  <c r="S25" i="17" s="1"/>
  <c r="L42" i="17" s="1"/>
  <c r="R24" i="17"/>
  <c r="S24" i="17" s="1"/>
  <c r="T24" i="17" s="1"/>
  <c r="R23" i="17"/>
  <c r="S23" i="17" s="1"/>
  <c r="T23" i="17" s="1"/>
  <c r="R32" i="17"/>
  <c r="S32" i="17" s="1"/>
  <c r="L49" i="17" s="1"/>
  <c r="R31" i="17"/>
  <c r="S31" i="17" s="1"/>
  <c r="L48" i="17" s="1"/>
  <c r="R22" i="17"/>
  <c r="S22" i="17" s="1"/>
  <c r="T22" i="17" s="1"/>
  <c r="R29" i="17"/>
  <c r="S29" i="17" s="1"/>
  <c r="T29" i="17" s="1"/>
  <c r="L50" i="17"/>
  <c r="M50" i="17" s="1"/>
  <c r="T33" i="17"/>
  <c r="T41" i="17"/>
  <c r="T37" i="17"/>
  <c r="R30" i="17"/>
  <c r="S30" i="17" s="1"/>
  <c r="R26" i="17"/>
  <c r="S26" i="17" s="1"/>
  <c r="P27" i="17"/>
  <c r="D45" i="17"/>
  <c r="R27" i="17"/>
  <c r="S27" i="17" s="1"/>
  <c r="E45" i="17"/>
  <c r="Q27" i="17"/>
  <c r="L40" i="17" l="1"/>
  <c r="N69" i="11" s="1"/>
  <c r="I16" i="11" s="1"/>
  <c r="T28" i="17"/>
  <c r="T32" i="17"/>
  <c r="L41" i="17"/>
  <c r="N70" i="11" s="1"/>
  <c r="I17" i="11" s="1"/>
  <c r="T25" i="17"/>
  <c r="L46" i="17"/>
  <c r="M46" i="17" s="1"/>
  <c r="L39" i="17"/>
  <c r="M39" i="17" s="1"/>
  <c r="T31" i="17"/>
  <c r="M45" i="17"/>
  <c r="N74" i="11"/>
  <c r="I21" i="11" s="1"/>
  <c r="M48" i="17"/>
  <c r="N77" i="11"/>
  <c r="I24" i="11" s="1"/>
  <c r="T27" i="17"/>
  <c r="L44" i="17"/>
  <c r="L43" i="17"/>
  <c r="T26" i="17"/>
  <c r="S34" i="17"/>
  <c r="E46" i="17"/>
  <c r="Q28" i="17"/>
  <c r="P28" i="17"/>
  <c r="D46" i="17"/>
  <c r="L47" i="17"/>
  <c r="T30" i="17"/>
  <c r="M49" i="17"/>
  <c r="N78" i="11"/>
  <c r="I25" i="11" s="1"/>
  <c r="M42" i="17"/>
  <c r="N71" i="11"/>
  <c r="I18" i="11" s="1"/>
  <c r="M40" i="17" l="1"/>
  <c r="N68" i="11"/>
  <c r="I15" i="11" s="1"/>
  <c r="N75" i="11"/>
  <c r="M41" i="17"/>
  <c r="T34" i="17"/>
  <c r="T50" i="17" s="1"/>
  <c r="T49" i="17" s="1"/>
  <c r="M47" i="17"/>
  <c r="N76" i="11"/>
  <c r="I23" i="11" s="1"/>
  <c r="D47" i="17"/>
  <c r="P29" i="17"/>
  <c r="M69" i="11"/>
  <c r="Q29" i="17"/>
  <c r="E47" i="17"/>
  <c r="M43" i="17"/>
  <c r="N72" i="11"/>
  <c r="I19" i="11" s="1"/>
  <c r="M71" i="11"/>
  <c r="M78" i="11"/>
  <c r="M44" i="17"/>
  <c r="N73" i="11"/>
  <c r="I20" i="11" s="1"/>
  <c r="M70" i="11"/>
  <c r="M74" i="11"/>
  <c r="L51" i="17"/>
  <c r="M77" i="11"/>
  <c r="M75" i="11" l="1"/>
  <c r="I22" i="11"/>
  <c r="M68" i="11"/>
  <c r="T44" i="17"/>
  <c r="M51" i="17"/>
  <c r="T43" i="17"/>
  <c r="T51" i="17"/>
  <c r="T48" i="17" s="1"/>
  <c r="T52" i="17" s="1"/>
  <c r="D48" i="17"/>
  <c r="P30" i="17"/>
  <c r="M76" i="11"/>
  <c r="M73" i="11"/>
  <c r="E48" i="17"/>
  <c r="Q30" i="17"/>
  <c r="M72" i="11"/>
  <c r="N79" i="11"/>
  <c r="I26" i="11" s="1"/>
  <c r="M79" i="11" l="1"/>
  <c r="T45" i="17"/>
  <c r="T42" i="17" s="1"/>
  <c r="T46" i="17" s="1"/>
  <c r="Q31" i="17"/>
  <c r="E49" i="17"/>
  <c r="P31" i="17"/>
  <c r="D49" i="17"/>
  <c r="N59" i="11"/>
  <c r="I6" i="11" s="1"/>
  <c r="D50" i="17" l="1"/>
  <c r="P33" i="17" s="1"/>
  <c r="P32" i="17"/>
  <c r="Q32" i="17"/>
  <c r="E50" i="17"/>
  <c r="Q33" i="17" s="1"/>
  <c r="N61" i="11"/>
  <c r="I8" i="11" s="1"/>
  <c r="M59" i="11"/>
  <c r="O59" i="11" l="1"/>
  <c r="J6" i="11" s="1"/>
  <c r="N65" i="11"/>
  <c r="I12" i="11" s="1"/>
  <c r="N64" i="11"/>
  <c r="I11" i="11" s="1"/>
  <c r="M65" i="11" l="1"/>
  <c r="M64" i="11" l="1"/>
  <c r="O65" i="11"/>
  <c r="J12" i="11" s="1"/>
  <c r="M61" i="11"/>
  <c r="M60" i="11" s="1"/>
  <c r="M62" i="11" s="1"/>
  <c r="M63" i="11" s="1"/>
  <c r="O64" i="11" l="1"/>
  <c r="J11" i="11" s="1"/>
  <c r="O61" i="11"/>
  <c r="O60" i="11" l="1"/>
  <c r="J8" i="11"/>
  <c r="O62" i="11" l="1"/>
  <c r="J7" i="11"/>
  <c r="O63" i="11" l="1"/>
  <c r="J10" i="11" s="1"/>
  <c r="J9" i="11"/>
</calcChain>
</file>

<file path=xl/sharedStrings.xml><?xml version="1.0" encoding="utf-8"?>
<sst xmlns="http://schemas.openxmlformats.org/spreadsheetml/2006/main" count="1046" uniqueCount="226">
  <si>
    <t>Crusher Dust Feed</t>
  </si>
  <si>
    <t>Valve Push Water</t>
  </si>
  <si>
    <t>Specific Gravity of Solids</t>
  </si>
  <si>
    <t>Tons per Hour of Solids</t>
  </si>
  <si>
    <t xml:space="preserve">Percent Solids by Weight </t>
  </si>
  <si>
    <t>Tons per Hour of Pulp</t>
  </si>
  <si>
    <t>Specific Gravity of Pulp</t>
  </si>
  <si>
    <t>Percent solids by Volume</t>
  </si>
  <si>
    <t>Gallons pre Minute of Pulp</t>
  </si>
  <si>
    <t>Gallons per Minute of Water</t>
  </si>
  <si>
    <t>Higlighted values are fixed</t>
  </si>
  <si>
    <t>Q</t>
  </si>
  <si>
    <t>=</t>
  </si>
  <si>
    <t>Cyclone diameter (inside)</t>
  </si>
  <si>
    <t>D</t>
  </si>
  <si>
    <t>A</t>
  </si>
  <si>
    <t>I</t>
  </si>
  <si>
    <t>h</t>
  </si>
  <si>
    <t>w</t>
  </si>
  <si>
    <t>Inlet to Vortex pipe clearance</t>
  </si>
  <si>
    <t>c</t>
  </si>
  <si>
    <t>d</t>
  </si>
  <si>
    <t>l</t>
  </si>
  <si>
    <t>b</t>
  </si>
  <si>
    <t>H</t>
  </si>
  <si>
    <t>C</t>
  </si>
  <si>
    <t>B</t>
  </si>
  <si>
    <t>IV</t>
  </si>
  <si>
    <t>Pressure drop factor</t>
  </si>
  <si>
    <t>PD</t>
  </si>
  <si>
    <t>Net Head factor</t>
  </si>
  <si>
    <t>Nh</t>
  </si>
  <si>
    <t>Pd</t>
  </si>
  <si>
    <t>ca</t>
  </si>
  <si>
    <t>D50 (actual)</t>
  </si>
  <si>
    <t>Size</t>
  </si>
  <si>
    <t>%</t>
  </si>
  <si>
    <t xml:space="preserve"> Retained</t>
  </si>
  <si>
    <t>Efficiency</t>
  </si>
  <si>
    <t>microns</t>
  </si>
  <si>
    <t>Feed</t>
  </si>
  <si>
    <t xml:space="preserve">To use enter the required data </t>
  </si>
  <si>
    <t xml:space="preserve"> in the highlighted cells</t>
  </si>
  <si>
    <t>General</t>
  </si>
  <si>
    <t>Location</t>
  </si>
  <si>
    <t>Application</t>
  </si>
  <si>
    <t xml:space="preserve">Units </t>
  </si>
  <si>
    <t>US</t>
  </si>
  <si>
    <t>Process Data</t>
  </si>
  <si>
    <t>Cyclone Performance</t>
  </si>
  <si>
    <t>Feed Material</t>
  </si>
  <si>
    <t>Sand &amp; Gravel</t>
  </si>
  <si>
    <t>Density</t>
  </si>
  <si>
    <t>#/cu ft</t>
  </si>
  <si>
    <t xml:space="preserve">feed pressure </t>
  </si>
  <si>
    <t>psig</t>
  </si>
  <si>
    <t>Feed Rate (dry solids)</t>
  </si>
  <si>
    <t>t/hr</t>
  </si>
  <si>
    <t>Thickness of vortex finder pipe wall</t>
  </si>
  <si>
    <t>inch</t>
  </si>
  <si>
    <t xml:space="preserve">Cyclone Capacity (each) </t>
  </si>
  <si>
    <t>g/min</t>
  </si>
  <si>
    <t>% Solids</t>
  </si>
  <si>
    <t>% wt</t>
  </si>
  <si>
    <t>inches</t>
  </si>
  <si>
    <t>Number of Cyclones</t>
  </si>
  <si>
    <t>No.</t>
  </si>
  <si>
    <t>% Feed solids</t>
  </si>
  <si>
    <t>Cyclone Capacity (each)</t>
  </si>
  <si>
    <t>Pressure Drop</t>
  </si>
  <si>
    <t>Solids Sp. Gr</t>
  </si>
  <si>
    <t>Liquid Sp. Gr.</t>
  </si>
  <si>
    <t>Inlet Area</t>
  </si>
  <si>
    <t>D50 (Base)</t>
  </si>
  <si>
    <t xml:space="preserve">Feed Inlet Diameter </t>
  </si>
  <si>
    <t xml:space="preserve">inch </t>
  </si>
  <si>
    <t>C1 = Correction Factor for % Solids in Feed</t>
  </si>
  <si>
    <t xml:space="preserve">inlet height </t>
  </si>
  <si>
    <t>C2 = Correction Factor for Pressure Drop</t>
  </si>
  <si>
    <t xml:space="preserve">inlet width </t>
  </si>
  <si>
    <t>C3 = Correction Factor for Specific Gravity</t>
  </si>
  <si>
    <t xml:space="preserve">diameter vortex (inside) </t>
  </si>
  <si>
    <t>% Wt</t>
  </si>
  <si>
    <t xml:space="preserve">lid clearance </t>
  </si>
  <si>
    <t>U'Flow</t>
  </si>
  <si>
    <t xml:space="preserve">Bottom Inlet to top cylinder </t>
  </si>
  <si>
    <t xml:space="preserve">Cylinder Height </t>
  </si>
  <si>
    <t xml:space="preserve">Apex Opening Diameter </t>
  </si>
  <si>
    <t xml:space="preserve">Cone Height </t>
  </si>
  <si>
    <t xml:space="preserve">Body Length </t>
  </si>
  <si>
    <t xml:space="preserve">Inlet velocity </t>
  </si>
  <si>
    <t>ft/sec</t>
  </si>
  <si>
    <t>Pressure drop through cyclone</t>
  </si>
  <si>
    <t xml:space="preserve">Cone Angle </t>
  </si>
  <si>
    <t>degrees</t>
  </si>
  <si>
    <t>Feed Size Distribution</t>
  </si>
  <si>
    <t>% Cum</t>
  </si>
  <si>
    <t xml:space="preserve"> Pass</t>
  </si>
  <si>
    <t>FEED</t>
  </si>
  <si>
    <t xml:space="preserve">Pulp </t>
  </si>
  <si>
    <t>Pulp Sp.Gr.</t>
  </si>
  <si>
    <t xml:space="preserve">Water </t>
  </si>
  <si>
    <t>Solids</t>
  </si>
  <si>
    <t>t.hr</t>
  </si>
  <si>
    <t>% by weight solids</t>
  </si>
  <si>
    <t>% by volume solids</t>
  </si>
  <si>
    <t>Overflow</t>
  </si>
  <si>
    <t>Notes</t>
  </si>
  <si>
    <t>Underflow</t>
  </si>
  <si>
    <t>Cp =</t>
  </si>
  <si>
    <t>Slurry Viscosity (absolute)</t>
  </si>
  <si>
    <t>Cs =</t>
  </si>
  <si>
    <t>Slurry Viscosity (kinematic)</t>
  </si>
  <si>
    <t>Pv =</t>
  </si>
  <si>
    <t>Pw =</t>
  </si>
  <si>
    <t>Percent Solids by Weight (Pulp Density)</t>
  </si>
  <si>
    <t>Sp =</t>
  </si>
  <si>
    <t>Ss =</t>
  </si>
  <si>
    <t>Vibrating Screen Design &amp; Analysis</t>
  </si>
  <si>
    <t>DECK 1</t>
  </si>
  <si>
    <t>DECK 2</t>
  </si>
  <si>
    <t>DECK 3</t>
  </si>
  <si>
    <r>
      <t xml:space="preserve">Vibrating Screen Design &amp; Analysis is provided </t>
    </r>
    <r>
      <rPr>
        <b/>
        <sz val="6"/>
        <color indexed="8"/>
        <rFont val="Arial"/>
        <family val="2"/>
      </rPr>
      <t>"as is" without warranty of any kind,</t>
    </r>
    <r>
      <rPr>
        <sz val="6"/>
        <color indexed="8"/>
        <rFont val="Arial"/>
        <family val="2"/>
      </rPr>
      <t xml:space="preserve"> and is for the use of knowledgeable professionals, capable of evaluating the accuracy of the results.  The author is not responsible for the use to which these results are put.</t>
    </r>
  </si>
  <si>
    <t>Number Required</t>
  </si>
  <si>
    <t>one</t>
  </si>
  <si>
    <t>Screen Type</t>
  </si>
  <si>
    <t>Horizontal vibrating</t>
  </si>
  <si>
    <t>Material Factor</t>
  </si>
  <si>
    <t>Number of Decks</t>
  </si>
  <si>
    <t>Moisture</t>
  </si>
  <si>
    <t>Screening Conditions</t>
  </si>
  <si>
    <t>Deck 1</t>
  </si>
  <si>
    <t>Base Capacity</t>
  </si>
  <si>
    <t>t/hr/ft^2</t>
  </si>
  <si>
    <t>Deck 2</t>
  </si>
  <si>
    <t>Deck 3</t>
  </si>
  <si>
    <t>Desired Separation</t>
  </si>
  <si>
    <t>O'size</t>
  </si>
  <si>
    <t>Wet or Dry</t>
  </si>
  <si>
    <t>(W/D)</t>
  </si>
  <si>
    <t>O'size Fact0r</t>
  </si>
  <si>
    <t>Desired Efficiency</t>
  </si>
  <si>
    <t>Halfsize</t>
  </si>
  <si>
    <t>W</t>
  </si>
  <si>
    <t>Halsize Factor</t>
  </si>
  <si>
    <t>Deck Capacity</t>
  </si>
  <si>
    <t>Deck Factor</t>
  </si>
  <si>
    <t>Required Deck Area</t>
  </si>
  <si>
    <t>Sq Ft</t>
  </si>
  <si>
    <t>Density Factor</t>
  </si>
  <si>
    <t>Over Size</t>
  </si>
  <si>
    <t>Wet Factoror</t>
  </si>
  <si>
    <t>Open areaFactor</t>
  </si>
  <si>
    <t>Undersize</t>
  </si>
  <si>
    <t>Screen Efficiency Factor</t>
  </si>
  <si>
    <t>Screen Surface Factor</t>
  </si>
  <si>
    <t>% Retained</t>
  </si>
  <si>
    <t>% Pass</t>
  </si>
  <si>
    <t>Cumm Retained</t>
  </si>
  <si>
    <t>(inches)</t>
  </si>
  <si>
    <t>Crushed Stone = 0.85 Particle Shape Factor</t>
  </si>
  <si>
    <t>Sand &amp; gravel = 1.0</t>
  </si>
  <si>
    <t>D75</t>
  </si>
  <si>
    <t>Coal = 1.15</t>
  </si>
  <si>
    <t>D50</t>
  </si>
  <si>
    <t>The rounder the particle the closer to 1</t>
  </si>
  <si>
    <t>D25</t>
  </si>
  <si>
    <t>Ef</t>
  </si>
  <si>
    <t>U T/hr</t>
  </si>
  <si>
    <t>% U'sz</t>
  </si>
  <si>
    <t>O Thr</t>
  </si>
  <si>
    <t>% O Sz</t>
  </si>
  <si>
    <t>Unders</t>
  </si>
  <si>
    <t>Overs</t>
  </si>
  <si>
    <t>T/hr</t>
  </si>
  <si>
    <t>O'Flow</t>
  </si>
  <si>
    <r>
      <t xml:space="preserve">Hydrocyclone Design &amp; Analysis is provided </t>
    </r>
    <r>
      <rPr>
        <b/>
        <sz val="6"/>
        <color indexed="8"/>
        <rFont val="Arial"/>
        <family val="2"/>
      </rPr>
      <t>"as is" without warranty of any kind,</t>
    </r>
    <r>
      <rPr>
        <sz val="6"/>
        <color indexed="8"/>
        <rFont val="Arial"/>
        <family val="2"/>
      </rPr>
      <t xml:space="preserve"> and is for the use of knowledgeable professionals, capable of evaluating the accuracy of the results.  The author is not responsible for the use to which these results are put.</t>
    </r>
  </si>
  <si>
    <t>\</t>
  </si>
  <si>
    <t>Cyclone Capacity</t>
  </si>
  <si>
    <t>SPECIFIED</t>
  </si>
  <si>
    <t>CYCLONE SIZING - BY CAPACITY</t>
  </si>
  <si>
    <r>
      <t>inch</t>
    </r>
    <r>
      <rPr>
        <vertAlign val="superscript"/>
        <sz val="8"/>
        <rFont val="Arial"/>
        <family val="2"/>
      </rPr>
      <t>2</t>
    </r>
  </si>
  <si>
    <t>Overflow Rate</t>
  </si>
  <si>
    <t>Settling Rate</t>
  </si>
  <si>
    <t>Sieve</t>
  </si>
  <si>
    <t>g/min/ft^2</t>
  </si>
  <si>
    <t xml:space="preserve"> (ft/sec)</t>
  </si>
  <si>
    <t>required</t>
  </si>
  <si>
    <t>mm</t>
  </si>
  <si>
    <t>Hindered</t>
  </si>
  <si>
    <t>flow (g/min)</t>
  </si>
  <si>
    <t>diameter</t>
  </si>
  <si>
    <t>M =</t>
  </si>
  <si>
    <t>area</t>
  </si>
  <si>
    <t>ft =</t>
  </si>
  <si>
    <t>Specifc Gravity of Slurry</t>
  </si>
  <si>
    <t>Percent Solids by Volume</t>
  </si>
  <si>
    <t>Maximum Slurry Density by Volume</t>
  </si>
  <si>
    <t>Total</t>
  </si>
  <si>
    <t>Wt</t>
  </si>
  <si>
    <t>U'F;ow</t>
  </si>
  <si>
    <t>Individual</t>
  </si>
  <si>
    <t>Screen Feed</t>
  </si>
  <si>
    <t>Slurry Water</t>
  </si>
  <si>
    <t>Screen Spray Water</t>
  </si>
  <si>
    <t>Solids Density #/Su.ft</t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</si>
  <si>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=</t>
    </r>
  </si>
  <si>
    <r>
      <t>ft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=</t>
    </r>
  </si>
  <si>
    <t>`7</t>
  </si>
  <si>
    <t>To Thickener</t>
  </si>
  <si>
    <t>Screen Overs</t>
  </si>
  <si>
    <t>Screen Unders</t>
  </si>
  <si>
    <t xml:space="preserve">Feed to Cyclones </t>
  </si>
  <si>
    <t>Cyclones O/F</t>
  </si>
  <si>
    <t>Cyclones U/F</t>
  </si>
  <si>
    <t xml:space="preserve">Teeter Water </t>
  </si>
  <si>
    <t>Teeter Feed</t>
  </si>
  <si>
    <t>Sizer U/F</t>
  </si>
  <si>
    <t>Sizer O/F</t>
  </si>
  <si>
    <t>Sizing Screen</t>
  </si>
  <si>
    <t>1st Stg Cyclone</t>
  </si>
  <si>
    <t>1st Stg Teeter Feed</t>
  </si>
  <si>
    <t>2nd Stg Cyclone</t>
  </si>
  <si>
    <t>2nd Stg Teeter Feed</t>
  </si>
  <si>
    <t>3rd Stg Cyclones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</si>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</sst>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0"/>
    <numFmt numFmtId="166" formatCode="_(* #,##0.0_)_)_)_)_)_)_)_)_);_(* \(#,##0.0\);_(* &quot;-&quot;??_);_(@_)"/>
    <numFmt numFmtId="167" formatCode="0.0%"/>
    <numFmt numFmtId="168" formatCode="_(* #,##0.0_);_(* \(#,##0.0\);_(* &quot;-&quot;??_);_(@_)"/>
    <numFmt numFmtId="169" formatCode="0.0000"/>
    <numFmt numFmtId="170" formatCode="0.000000000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6"/>
      <color indexed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6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Geneva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5" borderId="2"/>
    <xf numFmtId="43" fontId="1" fillId="0" borderId="0" applyFont="0" applyFill="0" applyBorder="0" applyAlignment="0" applyProtection="0"/>
    <xf numFmtId="0" fontId="19" fillId="0" borderId="0"/>
  </cellStyleXfs>
  <cellXfs count="357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10" fontId="4" fillId="3" borderId="1" xfId="1" applyNumberFormat="1" applyFont="1" applyFill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Border="1"/>
    <xf numFmtId="0" fontId="0" fillId="0" borderId="1" xfId="0" applyBorder="1" applyAlignment="1">
      <alignment horizontal="center" wrapText="1"/>
    </xf>
    <xf numFmtId="0" fontId="7" fillId="0" borderId="0" xfId="0" applyFont="1" applyFill="1" applyBorder="1" applyAlignment="1" applyProtection="1">
      <alignment vertical="top"/>
    </xf>
    <xf numFmtId="2" fontId="8" fillId="0" borderId="0" xfId="4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 applyProtection="1">
      <alignment horizontal="center" vertical="top"/>
    </xf>
    <xf numFmtId="0" fontId="7" fillId="0" borderId="0" xfId="0" applyFont="1"/>
    <xf numFmtId="0" fontId="7" fillId="0" borderId="0" xfId="0" applyFont="1" applyAlignment="1" applyProtection="1">
      <alignment vertical="top"/>
    </xf>
    <xf numFmtId="164" fontId="9" fillId="6" borderId="4" xfId="1" applyNumberFormat="1" applyFont="1" applyFill="1" applyBorder="1" applyAlignment="1" applyProtection="1">
      <alignment vertical="top"/>
      <protection locked="0"/>
    </xf>
    <xf numFmtId="167" fontId="9" fillId="6" borderId="1" xfId="1" applyNumberFormat="1" applyFont="1" applyFill="1" applyBorder="1" applyAlignment="1" applyProtection="1">
      <alignment vertical="top"/>
      <protection locked="0"/>
    </xf>
    <xf numFmtId="164" fontId="9" fillId="6" borderId="4" xfId="4" applyNumberFormat="1" applyFont="1" applyFill="1" applyBorder="1" applyAlignment="1" applyProtection="1">
      <alignment vertical="top"/>
      <protection locked="0"/>
    </xf>
    <xf numFmtId="0" fontId="10" fillId="0" borderId="0" xfId="0" applyFont="1" applyAlignment="1" applyProtection="1">
      <alignment vertical="top"/>
    </xf>
    <xf numFmtId="0" fontId="7" fillId="0" borderId="17" xfId="0" applyFont="1" applyFill="1" applyBorder="1" applyAlignment="1" applyProtection="1">
      <alignment horizontal="centerContinuous" vertical="top"/>
    </xf>
    <xf numFmtId="0" fontId="7" fillId="0" borderId="19" xfId="0" applyFont="1" applyFill="1" applyBorder="1" applyAlignment="1" applyProtection="1">
      <alignment vertical="top"/>
    </xf>
    <xf numFmtId="0" fontId="7" fillId="0" borderId="20" xfId="0" applyFont="1" applyFill="1" applyBorder="1" applyAlignment="1" applyProtection="1">
      <alignment vertical="top"/>
    </xf>
    <xf numFmtId="0" fontId="7" fillId="0" borderId="25" xfId="0" applyFont="1" applyFill="1" applyBorder="1" applyAlignment="1" applyProtection="1">
      <alignment vertical="top"/>
    </xf>
    <xf numFmtId="0" fontId="7" fillId="0" borderId="7" xfId="0" applyFont="1" applyFill="1" applyBorder="1" applyAlignment="1" applyProtection="1">
      <alignment vertical="top"/>
    </xf>
    <xf numFmtId="0" fontId="7" fillId="0" borderId="27" xfId="0" applyFont="1" applyFill="1" applyBorder="1" applyAlignment="1" applyProtection="1">
      <alignment vertical="top"/>
    </xf>
    <xf numFmtId="0" fontId="7" fillId="0" borderId="32" xfId="0" applyFont="1" applyFill="1" applyBorder="1" applyAlignment="1" applyProtection="1">
      <alignment vertical="top"/>
    </xf>
    <xf numFmtId="0" fontId="7" fillId="0" borderId="29" xfId="0" applyFont="1" applyFill="1" applyBorder="1" applyAlignment="1" applyProtection="1">
      <alignment vertical="top"/>
    </xf>
    <xf numFmtId="0" fontId="11" fillId="0" borderId="16" xfId="0" applyFont="1" applyFill="1" applyBorder="1" applyAlignment="1" applyProtection="1">
      <alignment horizontal="center" vertical="top"/>
    </xf>
    <xf numFmtId="0" fontId="7" fillId="0" borderId="17" xfId="0" applyFont="1" applyFill="1" applyBorder="1" applyAlignment="1" applyProtection="1">
      <alignment horizontal="center" vertical="top"/>
    </xf>
    <xf numFmtId="0" fontId="7" fillId="0" borderId="18" xfId="0" applyFont="1" applyFill="1" applyBorder="1" applyAlignment="1" applyProtection="1">
      <alignment horizontal="center" vertical="top"/>
    </xf>
    <xf numFmtId="0" fontId="7" fillId="0" borderId="15" xfId="0" applyFont="1" applyFill="1" applyBorder="1" applyAlignment="1" applyProtection="1">
      <alignment horizontal="centerContinuous" vertical="top"/>
    </xf>
    <xf numFmtId="0" fontId="8" fillId="0" borderId="33" xfId="0" applyFont="1" applyFill="1" applyBorder="1" applyAlignment="1" applyProtection="1">
      <alignment vertical="top"/>
    </xf>
    <xf numFmtId="0" fontId="7" fillId="0" borderId="19" xfId="0" applyFont="1" applyFill="1" applyBorder="1" applyAlignment="1" applyProtection="1">
      <alignment horizontal="left" vertical="top"/>
    </xf>
    <xf numFmtId="0" fontId="7" fillId="0" borderId="22" xfId="0" applyFont="1" applyFill="1" applyBorder="1" applyAlignment="1" applyProtection="1">
      <alignment horizontal="centerContinuous" vertical="top"/>
    </xf>
    <xf numFmtId="2" fontId="8" fillId="0" borderId="1" xfId="4" applyNumberFormat="1" applyFont="1" applyFill="1" applyBorder="1" applyAlignment="1" applyProtection="1">
      <alignment horizontal="center" vertical="top"/>
      <protection locked="0"/>
    </xf>
    <xf numFmtId="0" fontId="8" fillId="0" borderId="25" xfId="0" applyFont="1" applyFill="1" applyBorder="1" applyAlignment="1" applyProtection="1">
      <alignment vertical="top"/>
    </xf>
    <xf numFmtId="0" fontId="7" fillId="0" borderId="7" xfId="0" applyFont="1" applyFill="1" applyBorder="1" applyAlignment="1" applyProtection="1">
      <alignment horizontal="left" vertical="top"/>
    </xf>
    <xf numFmtId="39" fontId="9" fillId="6" borderId="34" xfId="4" applyNumberFormat="1" applyFont="1" applyFill="1" applyBorder="1" applyAlignment="1" applyProtection="1">
      <alignment vertical="top"/>
      <protection locked="0"/>
    </xf>
    <xf numFmtId="0" fontId="7" fillId="0" borderId="33" xfId="0" applyFont="1" applyFill="1" applyBorder="1" applyAlignment="1" applyProtection="1">
      <alignment vertical="top"/>
    </xf>
    <xf numFmtId="165" fontId="9" fillId="6" borderId="34" xfId="4" applyNumberFormat="1" applyFont="1" applyFill="1" applyBorder="1" applyAlignment="1" applyProtection="1">
      <alignment vertical="top"/>
      <protection locked="0"/>
    </xf>
    <xf numFmtId="0" fontId="7" fillId="0" borderId="20" xfId="0" applyFont="1" applyFill="1" applyBorder="1" applyAlignment="1" applyProtection="1">
      <alignment horizontal="center" vertical="top"/>
    </xf>
    <xf numFmtId="164" fontId="8" fillId="0" borderId="1" xfId="4" applyNumberFormat="1" applyFont="1" applyFill="1" applyBorder="1" applyAlignment="1" applyProtection="1">
      <alignment horizontal="center" vertical="top"/>
      <protection locked="0"/>
    </xf>
    <xf numFmtId="1" fontId="8" fillId="0" borderId="35" xfId="1" applyNumberFormat="1" applyFont="1" applyFill="1" applyBorder="1" applyAlignment="1" applyProtection="1">
      <alignment vertical="top"/>
      <protection locked="0"/>
    </xf>
    <xf numFmtId="0" fontId="7" fillId="0" borderId="22" xfId="0" applyFont="1" applyFill="1" applyBorder="1" applyAlignment="1" applyProtection="1">
      <alignment horizontal="center" vertical="top"/>
    </xf>
    <xf numFmtId="2" fontId="8" fillId="0" borderId="36" xfId="4" applyNumberFormat="1" applyFont="1" applyFill="1" applyBorder="1" applyAlignment="1" applyProtection="1">
      <alignment horizontal="center" vertical="top"/>
      <protection locked="0"/>
    </xf>
    <xf numFmtId="2" fontId="8" fillId="0" borderId="37" xfId="4" applyNumberFormat="1" applyFont="1" applyFill="1" applyBorder="1" applyAlignment="1" applyProtection="1">
      <alignment horizontal="center" vertical="top"/>
      <protection locked="0"/>
    </xf>
    <xf numFmtId="168" fontId="7" fillId="0" borderId="8" xfId="4" applyNumberFormat="1" applyFont="1" applyFill="1" applyBorder="1" applyAlignment="1" applyProtection="1">
      <alignment vertical="top"/>
      <protection locked="0"/>
    </xf>
    <xf numFmtId="2" fontId="8" fillId="0" borderId="34" xfId="4" applyNumberFormat="1" applyFont="1" applyFill="1" applyBorder="1" applyAlignment="1" applyProtection="1">
      <alignment horizontal="center" vertical="top"/>
      <protection locked="0"/>
    </xf>
    <xf numFmtId="2" fontId="9" fillId="6" borderId="1" xfId="1" applyNumberFormat="1" applyFont="1" applyFill="1" applyBorder="1" applyAlignment="1" applyProtection="1">
      <alignment horizontal="center" vertical="top"/>
      <protection locked="0"/>
    </xf>
    <xf numFmtId="0" fontId="7" fillId="0" borderId="13" xfId="0" applyFont="1" applyFill="1" applyBorder="1" applyAlignment="1" applyProtection="1">
      <alignment vertical="top"/>
    </xf>
    <xf numFmtId="166" fontId="8" fillId="0" borderId="5" xfId="0" applyNumberFormat="1" applyFont="1" applyFill="1" applyBorder="1" applyAlignment="1" applyProtection="1">
      <alignment horizontal="center" vertical="top"/>
    </xf>
    <xf numFmtId="2" fontId="8" fillId="0" borderId="9" xfId="4" applyNumberFormat="1" applyFont="1" applyFill="1" applyBorder="1" applyAlignment="1" applyProtection="1">
      <alignment horizontal="center" vertical="top"/>
      <protection locked="0"/>
    </xf>
    <xf numFmtId="2" fontId="8" fillId="0" borderId="1" xfId="4" quotePrefix="1" applyNumberFormat="1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horizontal="center" vertical="top"/>
    </xf>
    <xf numFmtId="167" fontId="8" fillId="0" borderId="5" xfId="0" applyNumberFormat="1" applyFont="1" applyFill="1" applyBorder="1" applyAlignment="1" applyProtection="1">
      <alignment horizontal="center" vertical="top"/>
    </xf>
    <xf numFmtId="164" fontId="8" fillId="0" borderId="40" xfId="1" applyNumberFormat="1" applyFont="1" applyFill="1" applyBorder="1" applyAlignment="1" applyProtection="1">
      <alignment vertical="top"/>
      <protection locked="0"/>
    </xf>
    <xf numFmtId="167" fontId="8" fillId="0" borderId="38" xfId="0" applyNumberFormat="1" applyFont="1" applyFill="1" applyBorder="1" applyAlignment="1" applyProtection="1">
      <alignment horizontal="center" vertical="top"/>
    </xf>
    <xf numFmtId="164" fontId="8" fillId="0" borderId="4" xfId="1" applyNumberFormat="1" applyFont="1" applyFill="1" applyBorder="1" applyAlignment="1" applyProtection="1">
      <alignment vertical="top"/>
      <protection locked="0"/>
    </xf>
    <xf numFmtId="167" fontId="8" fillId="0" borderId="1" xfId="1" applyNumberFormat="1" applyFont="1" applyFill="1" applyBorder="1" applyAlignment="1" applyProtection="1">
      <alignment vertical="top"/>
      <protection locked="0"/>
    </xf>
    <xf numFmtId="164" fontId="8" fillId="0" borderId="4" xfId="4" applyNumberFormat="1" applyFont="1" applyFill="1" applyBorder="1" applyAlignment="1" applyProtection="1">
      <alignment vertical="top"/>
      <protection locked="0"/>
    </xf>
    <xf numFmtId="0" fontId="7" fillId="0" borderId="7" xfId="0" applyFont="1" applyFill="1" applyBorder="1" applyAlignment="1" applyProtection="1">
      <alignment horizontal="center" vertical="top"/>
    </xf>
    <xf numFmtId="9" fontId="7" fillId="0" borderId="8" xfId="1" applyFont="1" applyFill="1" applyBorder="1" applyAlignment="1" applyProtection="1">
      <alignment vertical="top"/>
      <protection locked="0"/>
    </xf>
    <xf numFmtId="2" fontId="9" fillId="0" borderId="41" xfId="4" applyNumberFormat="1" applyFont="1" applyFill="1" applyBorder="1" applyAlignment="1" applyProtection="1">
      <alignment horizontal="center" vertical="top"/>
      <protection locked="0"/>
    </xf>
    <xf numFmtId="0" fontId="7" fillId="0" borderId="30" xfId="0" applyFont="1" applyFill="1" applyBorder="1" applyAlignment="1" applyProtection="1">
      <alignment horizontal="center" vertical="top"/>
    </xf>
    <xf numFmtId="166" fontId="8" fillId="0" borderId="40" xfId="0" applyNumberFormat="1" applyFont="1" applyFill="1" applyBorder="1" applyAlignment="1" applyProtection="1">
      <alignment horizontal="center" vertical="top"/>
    </xf>
    <xf numFmtId="166" fontId="8" fillId="0" borderId="38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 applyProtection="1">
      <alignment horizontal="centerContinuous" vertical="top"/>
    </xf>
    <xf numFmtId="0" fontId="8" fillId="0" borderId="38" xfId="0" applyFont="1" applyFill="1" applyBorder="1" applyAlignment="1" applyProtection="1">
      <alignment horizontal="center" vertical="top"/>
    </xf>
    <xf numFmtId="0" fontId="7" fillId="0" borderId="11" xfId="0" applyFont="1" applyFill="1" applyBorder="1" applyAlignment="1" applyProtection="1">
      <alignment vertical="top"/>
    </xf>
    <xf numFmtId="0" fontId="7" fillId="0" borderId="16" xfId="0" applyFont="1" applyFill="1" applyBorder="1" applyAlignment="1" applyProtection="1">
      <alignment vertical="top"/>
    </xf>
    <xf numFmtId="0" fontId="7" fillId="0" borderId="17" xfId="0" applyFont="1" applyFill="1" applyBorder="1" applyAlignment="1" applyProtection="1">
      <alignment vertical="top"/>
    </xf>
    <xf numFmtId="2" fontId="8" fillId="0" borderId="43" xfId="4" quotePrefix="1" applyNumberFormat="1" applyFont="1" applyFill="1" applyBorder="1" applyAlignment="1" applyProtection="1">
      <alignment horizontal="center" vertical="top"/>
      <protection locked="0"/>
    </xf>
    <xf numFmtId="2" fontId="8" fillId="0" borderId="38" xfId="4" applyNumberFormat="1" applyFont="1" applyFill="1" applyBorder="1" applyAlignment="1" applyProtection="1">
      <alignment horizontal="center" vertical="top"/>
      <protection locked="0"/>
    </xf>
    <xf numFmtId="167" fontId="8" fillId="0" borderId="1" xfId="1" applyNumberFormat="1" applyFont="1" applyFill="1" applyBorder="1" applyAlignment="1" applyProtection="1">
      <alignment horizontal="center" vertical="top"/>
      <protection locked="0"/>
    </xf>
    <xf numFmtId="2" fontId="8" fillId="0" borderId="39" xfId="4" quotePrefix="1" applyNumberFormat="1" applyFont="1" applyFill="1" applyBorder="1" applyAlignment="1" applyProtection="1">
      <alignment horizontal="center" vertical="top"/>
      <protection locked="0"/>
    </xf>
    <xf numFmtId="0" fontId="7" fillId="0" borderId="22" xfId="0" applyFont="1" applyFill="1" applyBorder="1" applyAlignment="1" applyProtection="1">
      <alignment vertical="top"/>
    </xf>
    <xf numFmtId="0" fontId="7" fillId="0" borderId="12" xfId="0" applyFont="1" applyFill="1" applyBorder="1" applyAlignment="1" applyProtection="1">
      <alignment horizontal="left" vertical="top"/>
    </xf>
    <xf numFmtId="0" fontId="7" fillId="0" borderId="9" xfId="0" applyFont="1" applyFill="1" applyBorder="1" applyAlignment="1" applyProtection="1">
      <alignment horizontal="left" vertical="top"/>
      <protection locked="0"/>
    </xf>
    <xf numFmtId="0" fontId="7" fillId="0" borderId="9" xfId="0" applyFont="1" applyFill="1" applyBorder="1" applyAlignment="1" applyProtection="1">
      <alignment horizontal="left" vertical="top"/>
    </xf>
    <xf numFmtId="0" fontId="9" fillId="0" borderId="13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left"/>
      <protection locked="0"/>
    </xf>
    <xf numFmtId="0" fontId="7" fillId="0" borderId="15" xfId="0" applyFont="1" applyFill="1" applyBorder="1" applyAlignment="1">
      <alignment horizontal="left"/>
    </xf>
    <xf numFmtId="0" fontId="7" fillId="0" borderId="15" xfId="0" applyFont="1" applyFill="1" applyBorder="1" applyAlignment="1" applyProtection="1">
      <alignment horizontal="left" vertical="top"/>
    </xf>
    <xf numFmtId="0" fontId="7" fillId="0" borderId="3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center" vertical="top"/>
    </xf>
    <xf numFmtId="0" fontId="7" fillId="0" borderId="6" xfId="0" applyFont="1" applyFill="1" applyBorder="1" applyAlignment="1" applyProtection="1">
      <alignment vertical="top"/>
    </xf>
    <xf numFmtId="0" fontId="7" fillId="0" borderId="21" xfId="0" applyFont="1" applyFill="1" applyBorder="1" applyAlignment="1" applyProtection="1">
      <alignment vertical="top"/>
    </xf>
    <xf numFmtId="9" fontId="4" fillId="3" borderId="1" xfId="1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 vertical="top"/>
      <protection locked="0"/>
    </xf>
    <xf numFmtId="0" fontId="0" fillId="0" borderId="0" xfId="0" applyProtection="1"/>
    <xf numFmtId="0" fontId="14" fillId="0" borderId="45" xfId="0" applyFont="1" applyFill="1" applyBorder="1" applyAlignment="1" applyProtection="1">
      <alignment vertical="top"/>
    </xf>
    <xf numFmtId="0" fontId="15" fillId="0" borderId="46" xfId="0" applyFont="1" applyFill="1" applyBorder="1" applyAlignment="1" applyProtection="1">
      <alignment vertical="top"/>
    </xf>
    <xf numFmtId="0" fontId="15" fillId="0" borderId="47" xfId="0" applyFont="1" applyFill="1" applyBorder="1" applyAlignment="1" applyProtection="1">
      <alignment vertical="top"/>
    </xf>
    <xf numFmtId="0" fontId="7" fillId="0" borderId="0" xfId="0" applyFont="1" applyProtection="1"/>
    <xf numFmtId="0" fontId="11" fillId="0" borderId="48" xfId="0" applyFont="1" applyFill="1" applyBorder="1" applyAlignment="1" applyProtection="1">
      <alignment horizontal="centerContinuous" vertical="top"/>
    </xf>
    <xf numFmtId="0" fontId="7" fillId="0" borderId="49" xfId="0" applyFont="1" applyFill="1" applyBorder="1" applyAlignment="1" applyProtection="1">
      <alignment horizontal="centerContinuous" vertical="top"/>
    </xf>
    <xf numFmtId="0" fontId="7" fillId="0" borderId="50" xfId="0" applyFont="1" applyFill="1" applyBorder="1" applyAlignment="1" applyProtection="1">
      <alignment vertical="top"/>
    </xf>
    <xf numFmtId="0" fontId="9" fillId="6" borderId="21" xfId="0" applyFont="1" applyFill="1" applyBorder="1" applyAlignment="1" applyProtection="1">
      <alignment vertical="top"/>
      <protection locked="0"/>
    </xf>
    <xf numFmtId="0" fontId="9" fillId="6" borderId="51" xfId="0" applyFont="1" applyFill="1" applyBorder="1" applyAlignment="1" applyProtection="1">
      <alignment vertical="top"/>
      <protection locked="0"/>
    </xf>
    <xf numFmtId="0" fontId="7" fillId="0" borderId="23" xfId="0" applyFont="1" applyFill="1" applyBorder="1" applyAlignment="1" applyProtection="1">
      <alignment vertical="top"/>
    </xf>
    <xf numFmtId="0" fontId="7" fillId="0" borderId="53" xfId="0" applyFont="1" applyFill="1" applyBorder="1" applyAlignment="1" applyProtection="1">
      <alignment vertical="top"/>
    </xf>
    <xf numFmtId="0" fontId="9" fillId="6" borderId="6" xfId="0" applyFont="1" applyFill="1" applyBorder="1" applyAlignment="1" applyProtection="1">
      <alignment vertical="top"/>
      <protection locked="0"/>
    </xf>
    <xf numFmtId="0" fontId="9" fillId="6" borderId="54" xfId="0" applyFont="1" applyFill="1" applyBorder="1" applyAlignment="1" applyProtection="1">
      <alignment vertical="top"/>
      <protection locked="0"/>
    </xf>
    <xf numFmtId="0" fontId="7" fillId="0" borderId="8" xfId="0" applyFont="1" applyFill="1" applyBorder="1" applyAlignment="1" applyProtection="1">
      <alignment vertical="top"/>
    </xf>
    <xf numFmtId="0" fontId="9" fillId="6" borderId="28" xfId="0" applyFont="1" applyFill="1" applyBorder="1" applyAlignment="1" applyProtection="1">
      <alignment vertical="top"/>
      <protection locked="0"/>
    </xf>
    <xf numFmtId="0" fontId="9" fillId="6" borderId="56" xfId="0" applyFont="1" applyFill="1" applyBorder="1" applyAlignment="1" applyProtection="1">
      <alignment vertical="top"/>
      <protection locked="0"/>
    </xf>
    <xf numFmtId="0" fontId="8" fillId="0" borderId="57" xfId="0" applyFont="1" applyFill="1" applyBorder="1" applyAlignment="1" applyProtection="1">
      <alignment horizontal="center" vertical="top"/>
    </xf>
    <xf numFmtId="0" fontId="8" fillId="0" borderId="49" xfId="0" applyFont="1" applyFill="1" applyBorder="1" applyAlignment="1" applyProtection="1">
      <alignment horizontal="center" vertical="top"/>
    </xf>
    <xf numFmtId="0" fontId="8" fillId="0" borderId="28" xfId="0" applyFont="1" applyFill="1" applyBorder="1" applyAlignment="1" applyProtection="1">
      <alignment horizontal="center" vertical="top"/>
    </xf>
    <xf numFmtId="0" fontId="8" fillId="0" borderId="29" xfId="0" applyFont="1" applyFill="1" applyBorder="1" applyAlignment="1" applyProtection="1">
      <alignment horizontal="center" vertical="top"/>
    </xf>
    <xf numFmtId="0" fontId="8" fillId="0" borderId="30" xfId="0" applyFont="1" applyFill="1" applyBorder="1" applyAlignment="1" applyProtection="1">
      <alignment horizontal="center" vertical="top"/>
    </xf>
    <xf numFmtId="0" fontId="7" fillId="0" borderId="58" xfId="0" applyFont="1" applyFill="1" applyBorder="1" applyAlignment="1" applyProtection="1">
      <alignment horizontal="centerContinuous" vertical="top"/>
    </xf>
    <xf numFmtId="0" fontId="8" fillId="0" borderId="59" xfId="0" applyFont="1" applyFill="1" applyBorder="1" applyAlignment="1" applyProtection="1">
      <alignment vertical="top"/>
    </xf>
    <xf numFmtId="0" fontId="7" fillId="0" borderId="59" xfId="0" applyFont="1" applyFill="1" applyBorder="1" applyAlignment="1" applyProtection="1">
      <alignment vertical="top"/>
    </xf>
    <xf numFmtId="0" fontId="7" fillId="0" borderId="22" xfId="0" applyFont="1" applyFill="1" applyBorder="1" applyAlignment="1" applyProtection="1">
      <alignment horizontal="center" vertical="top"/>
    </xf>
    <xf numFmtId="0" fontId="7" fillId="0" borderId="23" xfId="0" applyFont="1" applyFill="1" applyBorder="1" applyAlignment="1" applyProtection="1">
      <alignment horizontal="center" vertical="top"/>
    </xf>
    <xf numFmtId="0" fontId="7" fillId="0" borderId="21" xfId="0" applyFont="1" applyFill="1" applyBorder="1" applyProtection="1"/>
    <xf numFmtId="0" fontId="7" fillId="0" borderId="20" xfId="0" applyFont="1" applyFill="1" applyBorder="1" applyProtection="1"/>
    <xf numFmtId="164" fontId="7" fillId="0" borderId="60" xfId="4" applyNumberFormat="1" applyFont="1" applyFill="1" applyBorder="1" applyAlignment="1" applyProtection="1">
      <alignment horizontal="center" vertical="top"/>
    </xf>
    <xf numFmtId="0" fontId="8" fillId="0" borderId="53" xfId="0" applyFont="1" applyFill="1" applyBorder="1" applyAlignment="1" applyProtection="1">
      <alignment vertical="top"/>
    </xf>
    <xf numFmtId="164" fontId="9" fillId="6" borderId="60" xfId="4" applyNumberFormat="1" applyFont="1" applyFill="1" applyBorder="1" applyAlignment="1" applyProtection="1">
      <alignment vertical="top"/>
      <protection locked="0"/>
    </xf>
    <xf numFmtId="164" fontId="7" fillId="0" borderId="1" xfId="4" applyNumberFormat="1" applyFont="1" applyFill="1" applyBorder="1" applyAlignment="1" applyProtection="1">
      <alignment horizontal="center" vertical="top"/>
    </xf>
    <xf numFmtId="0" fontId="7" fillId="0" borderId="6" xfId="0" applyFont="1" applyFill="1" applyBorder="1" applyProtection="1"/>
    <xf numFmtId="0" fontId="7" fillId="0" borderId="7" xfId="0" applyFont="1" applyFill="1" applyBorder="1" applyProtection="1"/>
    <xf numFmtId="1" fontId="7" fillId="0" borderId="60" xfId="4" applyNumberFormat="1" applyFont="1" applyFill="1" applyBorder="1" applyAlignment="1" applyProtection="1">
      <alignment horizontal="center" vertical="top"/>
    </xf>
    <xf numFmtId="0" fontId="7" fillId="0" borderId="6" xfId="0" applyFont="1" applyBorder="1" applyProtection="1"/>
    <xf numFmtId="0" fontId="7" fillId="0" borderId="7" xfId="0" applyFont="1" applyBorder="1" applyProtection="1"/>
    <xf numFmtId="9" fontId="7" fillId="0" borderId="60" xfId="1" applyFont="1" applyFill="1" applyBorder="1" applyAlignment="1" applyProtection="1">
      <alignment horizontal="center" vertical="top"/>
    </xf>
    <xf numFmtId="0" fontId="7" fillId="0" borderId="53" xfId="0" applyFont="1" applyBorder="1" applyProtection="1"/>
    <xf numFmtId="0" fontId="7" fillId="0" borderId="28" xfId="0" applyFont="1" applyFill="1" applyBorder="1" applyAlignment="1" applyProtection="1">
      <alignment vertical="top"/>
    </xf>
    <xf numFmtId="1" fontId="7" fillId="0" borderId="56" xfId="1" applyNumberFormat="1" applyFont="1" applyFill="1" applyBorder="1" applyAlignment="1" applyProtection="1">
      <alignment vertical="top"/>
    </xf>
    <xf numFmtId="0" fontId="7" fillId="0" borderId="50" xfId="0" applyFont="1" applyBorder="1" applyProtection="1"/>
    <xf numFmtId="2" fontId="9" fillId="6" borderId="62" xfId="0" applyNumberFormat="1" applyFont="1" applyFill="1" applyBorder="1" applyAlignment="1" applyProtection="1">
      <alignment horizontal="center" vertical="top"/>
      <protection locked="0"/>
    </xf>
    <xf numFmtId="0" fontId="9" fillId="0" borderId="7" xfId="0" applyFont="1" applyFill="1" applyBorder="1" applyAlignment="1" applyProtection="1">
      <alignment vertical="top"/>
    </xf>
    <xf numFmtId="37" fontId="9" fillId="6" borderId="60" xfId="4" applyNumberFormat="1" applyFont="1" applyFill="1" applyBorder="1" applyAlignment="1" applyProtection="1">
      <alignment horizontal="center" vertical="top"/>
      <protection locked="0"/>
    </xf>
    <xf numFmtId="0" fontId="7" fillId="0" borderId="22" xfId="0" applyFont="1" applyBorder="1" applyAlignment="1" applyProtection="1">
      <alignment horizontal="centerContinuous" vertical="top"/>
    </xf>
    <xf numFmtId="0" fontId="7" fillId="0" borderId="19" xfId="0" applyFont="1" applyBorder="1" applyAlignment="1" applyProtection="1">
      <alignment horizontal="centerContinuous" vertical="top"/>
    </xf>
    <xf numFmtId="0" fontId="7" fillId="0" borderId="19" xfId="0" applyFont="1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2" fontId="7" fillId="0" borderId="63" xfId="0" applyNumberFormat="1" applyFont="1" applyBorder="1" applyProtection="1"/>
    <xf numFmtId="0" fontId="7" fillId="0" borderId="7" xfId="0" applyFont="1" applyBorder="1" applyAlignment="1" applyProtection="1">
      <alignment vertical="top"/>
    </xf>
    <xf numFmtId="0" fontId="7" fillId="0" borderId="7" xfId="0" applyFont="1" applyBorder="1" applyAlignment="1" applyProtection="1">
      <alignment horizontal="left" vertical="top"/>
    </xf>
    <xf numFmtId="2" fontId="7" fillId="0" borderId="25" xfId="0" applyNumberFormat="1" applyFont="1" applyBorder="1" applyAlignment="1" applyProtection="1">
      <alignment horizontal="center" vertical="top"/>
    </xf>
    <xf numFmtId="0" fontId="7" fillId="0" borderId="25" xfId="0" applyFont="1" applyBorder="1" applyProtection="1"/>
    <xf numFmtId="167" fontId="7" fillId="0" borderId="64" xfId="1" applyNumberFormat="1" applyFont="1" applyBorder="1" applyProtection="1"/>
    <xf numFmtId="0" fontId="7" fillId="0" borderId="50" xfId="0" applyFont="1" applyFill="1" applyBorder="1" applyAlignment="1" applyProtection="1">
      <alignment horizontal="left" vertical="top"/>
    </xf>
    <xf numFmtId="0" fontId="7" fillId="0" borderId="62" xfId="0" applyFont="1" applyFill="1" applyBorder="1" applyAlignment="1" applyProtection="1">
      <alignment horizontal="centerContinuous" vertical="top"/>
    </xf>
    <xf numFmtId="168" fontId="7" fillId="0" borderId="25" xfId="0" applyNumberFormat="1" applyFont="1" applyBorder="1" applyAlignment="1" applyProtection="1">
      <alignment horizontal="center" vertical="top"/>
    </xf>
    <xf numFmtId="169" fontId="7" fillId="0" borderId="65" xfId="0" applyNumberFormat="1" applyFont="1" applyBorder="1" applyProtection="1"/>
    <xf numFmtId="168" fontId="7" fillId="0" borderId="7" xfId="4" applyNumberFormat="1" applyFont="1" applyFill="1" applyBorder="1" applyAlignment="1" applyProtection="1">
      <alignment horizontal="center" vertical="top"/>
    </xf>
    <xf numFmtId="2" fontId="9" fillId="6" borderId="60" xfId="4" applyNumberFormat="1" applyFont="1" applyFill="1" applyBorder="1" applyAlignment="1" applyProtection="1">
      <alignment horizontal="center" vertical="top"/>
      <protection locked="0"/>
    </xf>
    <xf numFmtId="9" fontId="7" fillId="0" borderId="25" xfId="1" applyFont="1" applyBorder="1" applyAlignment="1" applyProtection="1">
      <alignment horizontal="center" vertical="top"/>
    </xf>
    <xf numFmtId="168" fontId="9" fillId="6" borderId="60" xfId="4" applyNumberFormat="1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</xf>
    <xf numFmtId="168" fontId="8" fillId="0" borderId="7" xfId="4" applyNumberFormat="1" applyFont="1" applyBorder="1" applyAlignment="1" applyProtection="1">
      <alignment vertical="top"/>
    </xf>
    <xf numFmtId="0" fontId="8" fillId="0" borderId="25" xfId="0" applyFont="1" applyBorder="1" applyAlignment="1" applyProtection="1">
      <alignment vertical="top"/>
    </xf>
    <xf numFmtId="9" fontId="7" fillId="0" borderId="7" xfId="1" applyFont="1" applyFill="1" applyBorder="1" applyAlignment="1" applyProtection="1">
      <alignment horizontal="center" vertical="top"/>
    </xf>
    <xf numFmtId="9" fontId="9" fillId="6" borderId="60" xfId="1" applyFont="1" applyFill="1" applyBorder="1" applyAlignment="1" applyProtection="1">
      <alignment horizontal="center" vertical="top"/>
      <protection locked="0"/>
    </xf>
    <xf numFmtId="2" fontId="8" fillId="0" borderId="25" xfId="0" applyNumberFormat="1" applyFont="1" applyBorder="1" applyAlignment="1" applyProtection="1">
      <alignment vertical="top"/>
    </xf>
    <xf numFmtId="167" fontId="8" fillId="0" borderId="25" xfId="1" applyNumberFormat="1" applyFont="1" applyBorder="1" applyAlignment="1" applyProtection="1">
      <alignment vertical="top"/>
    </xf>
    <xf numFmtId="0" fontId="7" fillId="0" borderId="65" xfId="0" applyFont="1" applyBorder="1" applyProtection="1"/>
    <xf numFmtId="167" fontId="8" fillId="0" borderId="64" xfId="1" applyNumberFormat="1" applyFont="1" applyBorder="1" applyAlignment="1" applyProtection="1">
      <alignment vertical="top"/>
    </xf>
    <xf numFmtId="0" fontId="0" fillId="0" borderId="66" xfId="0" applyBorder="1" applyProtection="1"/>
    <xf numFmtId="0" fontId="0" fillId="0" borderId="29" xfId="0" applyBorder="1" applyProtection="1"/>
    <xf numFmtId="0" fontId="0" fillId="0" borderId="67" xfId="0" applyBorder="1" applyProtection="1"/>
    <xf numFmtId="0" fontId="0" fillId="0" borderId="68" xfId="0" applyBorder="1" applyProtection="1"/>
    <xf numFmtId="166" fontId="8" fillId="0" borderId="69" xfId="0" applyNumberFormat="1" applyFont="1" applyFill="1" applyBorder="1" applyAlignment="1" applyProtection="1">
      <alignment horizontal="center" vertical="top"/>
    </xf>
    <xf numFmtId="0" fontId="7" fillId="0" borderId="52" xfId="0" applyFont="1" applyFill="1" applyBorder="1" applyAlignment="1" applyProtection="1">
      <alignment horizontal="centerContinuous" vertical="top"/>
    </xf>
    <xf numFmtId="0" fontId="7" fillId="0" borderId="55" xfId="0" applyFont="1" applyFill="1" applyBorder="1" applyAlignment="1" applyProtection="1">
      <alignment vertical="top"/>
    </xf>
    <xf numFmtId="166" fontId="8" fillId="0" borderId="70" xfId="0" applyNumberFormat="1" applyFont="1" applyFill="1" applyBorder="1" applyAlignment="1" applyProtection="1">
      <alignment horizontal="center" vertical="top"/>
    </xf>
    <xf numFmtId="2" fontId="7" fillId="0" borderId="71" xfId="1" applyNumberFormat="1" applyFont="1" applyFill="1" applyBorder="1" applyAlignment="1" applyProtection="1">
      <alignment vertical="top"/>
    </xf>
    <xf numFmtId="9" fontId="7" fillId="0" borderId="1" xfId="1" applyFont="1" applyFill="1" applyBorder="1" applyAlignment="1" applyProtection="1">
      <alignment vertical="top"/>
    </xf>
    <xf numFmtId="2" fontId="7" fillId="0" borderId="0" xfId="0" applyNumberFormat="1" applyFont="1" applyProtection="1"/>
    <xf numFmtId="9" fontId="7" fillId="0" borderId="0" xfId="0" applyNumberFormat="1" applyFont="1" applyProtection="1"/>
    <xf numFmtId="167" fontId="8" fillId="0" borderId="70" xfId="0" applyNumberFormat="1" applyFont="1" applyFill="1" applyBorder="1" applyAlignment="1" applyProtection="1">
      <alignment horizontal="center" vertical="top"/>
    </xf>
    <xf numFmtId="165" fontId="9" fillId="6" borderId="71" xfId="1" applyNumberFormat="1" applyFont="1" applyFill="1" applyBorder="1" applyAlignment="1" applyProtection="1">
      <alignment vertical="top"/>
      <protection locked="0"/>
    </xf>
    <xf numFmtId="167" fontId="9" fillId="6" borderId="71" xfId="1" applyNumberFormat="1" applyFont="1" applyFill="1" applyBorder="1" applyAlignment="1" applyProtection="1">
      <alignment vertical="top"/>
      <protection locked="0"/>
    </xf>
    <xf numFmtId="168" fontId="9" fillId="6" borderId="71" xfId="4" applyNumberFormat="1" applyFont="1" applyFill="1" applyBorder="1" applyAlignment="1" applyProtection="1">
      <alignment vertical="top"/>
      <protection locked="0"/>
    </xf>
    <xf numFmtId="168" fontId="9" fillId="6" borderId="1" xfId="4" applyNumberFormat="1" applyFont="1" applyFill="1" applyBorder="1" applyAlignment="1" applyProtection="1">
      <alignment vertical="top"/>
      <protection locked="0"/>
    </xf>
    <xf numFmtId="0" fontId="7" fillId="0" borderId="72" xfId="0" applyFont="1" applyFill="1" applyBorder="1" applyAlignment="1" applyProtection="1">
      <alignment horizontal="left" vertical="top"/>
      <protection locked="0"/>
    </xf>
    <xf numFmtId="0" fontId="7" fillId="6" borderId="9" xfId="0" applyFont="1" applyFill="1" applyBorder="1" applyAlignment="1" applyProtection="1">
      <alignment horizontal="left" vertical="top"/>
      <protection locked="0"/>
    </xf>
    <xf numFmtId="168" fontId="9" fillId="6" borderId="73" xfId="4" applyNumberFormat="1" applyFont="1" applyFill="1" applyBorder="1" applyAlignment="1" applyProtection="1">
      <alignment vertical="top"/>
      <protection locked="0"/>
    </xf>
    <xf numFmtId="168" fontId="9" fillId="6" borderId="74" xfId="4" applyNumberFormat="1" applyFont="1" applyFill="1" applyBorder="1" applyAlignment="1" applyProtection="1">
      <alignment vertical="top"/>
      <protection locked="0"/>
    </xf>
    <xf numFmtId="167" fontId="8" fillId="0" borderId="75" xfId="0" applyNumberFormat="1" applyFont="1" applyFill="1" applyBorder="1" applyAlignment="1" applyProtection="1">
      <alignment horizontal="center" vertical="top"/>
    </xf>
    <xf numFmtId="167" fontId="8" fillId="0" borderId="76" xfId="0" applyNumberFormat="1" applyFont="1" applyFill="1" applyBorder="1" applyAlignment="1" applyProtection="1">
      <alignment horizontal="center" vertical="top"/>
    </xf>
    <xf numFmtId="0" fontId="0" fillId="0" borderId="77" xfId="0" applyBorder="1" applyProtection="1"/>
    <xf numFmtId="0" fontId="0" fillId="0" borderId="78" xfId="0" applyBorder="1" applyProtection="1"/>
    <xf numFmtId="0" fontId="0" fillId="0" borderId="79" xfId="0" applyBorder="1" applyProtection="1"/>
    <xf numFmtId="2" fontId="7" fillId="0" borderId="1" xfId="0" applyNumberFormat="1" applyFont="1" applyBorder="1" applyProtection="1"/>
    <xf numFmtId="0" fontId="7" fillId="0" borderId="0" xfId="0" applyFont="1" applyAlignment="1" applyProtection="1">
      <alignment horizontal="right"/>
    </xf>
    <xf numFmtId="0" fontId="7" fillId="0" borderId="1" xfId="0" applyFont="1" applyBorder="1" applyProtection="1"/>
    <xf numFmtId="0" fontId="7" fillId="0" borderId="39" xfId="0" applyFont="1" applyBorder="1" applyProtection="1"/>
    <xf numFmtId="2" fontId="11" fillId="0" borderId="5" xfId="0" applyNumberFormat="1" applyFont="1" applyBorder="1" applyProtection="1"/>
    <xf numFmtId="0" fontId="7" fillId="0" borderId="8" xfId="0" applyFont="1" applyBorder="1" applyProtection="1"/>
    <xf numFmtId="0" fontId="7" fillId="0" borderId="0" xfId="5" applyFont="1" applyProtection="1"/>
    <xf numFmtId="2" fontId="7" fillId="0" borderId="0" xfId="1" applyNumberFormat="1" applyFont="1" applyProtection="1"/>
    <xf numFmtId="9" fontId="7" fillId="0" borderId="0" xfId="1" applyFont="1" applyProtection="1"/>
    <xf numFmtId="166" fontId="20" fillId="0" borderId="69" xfId="0" applyNumberFormat="1" applyFont="1" applyFill="1" applyBorder="1" applyAlignment="1" applyProtection="1">
      <alignment horizontal="center" vertical="top"/>
    </xf>
    <xf numFmtId="167" fontId="21" fillId="6" borderId="71" xfId="1" applyNumberFormat="1" applyFont="1" applyFill="1" applyBorder="1" applyAlignment="1" applyProtection="1">
      <alignment vertical="top"/>
      <protection locked="0"/>
    </xf>
    <xf numFmtId="168" fontId="21" fillId="6" borderId="71" xfId="4" applyNumberFormat="1" applyFont="1" applyFill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horizontal="center"/>
    </xf>
    <xf numFmtId="2" fontId="7" fillId="0" borderId="1" xfId="0" applyNumberFormat="1" applyFont="1" applyBorder="1" applyAlignment="1" applyProtection="1">
      <alignment horizontal="center"/>
    </xf>
    <xf numFmtId="166" fontId="8" fillId="0" borderId="80" xfId="0" applyNumberFormat="1" applyFont="1" applyFill="1" applyBorder="1" applyAlignment="1" applyProtection="1">
      <alignment horizontal="center" vertical="top"/>
    </xf>
    <xf numFmtId="165" fontId="9" fillId="6" borderId="8" xfId="1" applyNumberFormat="1" applyFont="1" applyFill="1" applyBorder="1" applyAlignment="1" applyProtection="1">
      <alignment vertical="top"/>
      <protection locked="0"/>
    </xf>
    <xf numFmtId="2" fontId="11" fillId="0" borderId="81" xfId="0" applyNumberFormat="1" applyFont="1" applyBorder="1" applyProtection="1"/>
    <xf numFmtId="168" fontId="22" fillId="6" borderId="78" xfId="4" applyNumberFormat="1" applyFont="1" applyFill="1" applyBorder="1" applyAlignment="1" applyProtection="1">
      <alignment vertical="top"/>
      <protection locked="0"/>
    </xf>
    <xf numFmtId="166" fontId="20" fillId="0" borderId="80" xfId="0" applyNumberFormat="1" applyFont="1" applyFill="1" applyBorder="1" applyAlignment="1" applyProtection="1">
      <alignment horizontal="center" vertical="top"/>
    </xf>
    <xf numFmtId="0" fontId="23" fillId="0" borderId="0" xfId="0" applyFont="1"/>
    <xf numFmtId="0" fontId="3" fillId="0" borderId="1" xfId="0" applyFont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</xf>
    <xf numFmtId="2" fontId="3" fillId="0" borderId="1" xfId="0" applyNumberFormat="1" applyFont="1" applyBorder="1" applyProtection="1"/>
    <xf numFmtId="0" fontId="7" fillId="0" borderId="9" xfId="0" applyFont="1" applyFill="1" applyBorder="1" applyAlignment="1" applyProtection="1">
      <alignment horizontal="center" vertical="top"/>
    </xf>
    <xf numFmtId="43" fontId="13" fillId="0" borderId="0" xfId="0" applyNumberFormat="1" applyFont="1"/>
    <xf numFmtId="166" fontId="8" fillId="0" borderId="0" xfId="0" applyNumberFormat="1" applyFont="1" applyFill="1" applyBorder="1" applyAlignment="1" applyProtection="1">
      <alignment horizontal="center" vertical="top"/>
    </xf>
    <xf numFmtId="0" fontId="9" fillId="0" borderId="7" xfId="0" applyFont="1" applyFill="1" applyBorder="1" applyAlignment="1" applyProtection="1">
      <alignment vertical="top"/>
      <protection locked="0"/>
    </xf>
    <xf numFmtId="1" fontId="9" fillId="6" borderId="42" xfId="1" applyNumberFormat="1" applyFont="1" applyFill="1" applyBorder="1" applyAlignment="1" applyProtection="1">
      <alignment vertical="top"/>
      <protection locked="0"/>
    </xf>
    <xf numFmtId="39" fontId="9" fillId="6" borderId="34" xfId="4" applyNumberFormat="1" applyFont="1" applyFill="1" applyBorder="1" applyAlignment="1" applyProtection="1">
      <alignment horizontal="center" vertical="top"/>
      <protection locked="0"/>
    </xf>
    <xf numFmtId="2" fontId="8" fillId="0" borderId="5" xfId="4" quotePrefix="1" applyNumberFormat="1" applyFont="1" applyFill="1" applyBorder="1" applyAlignment="1" applyProtection="1">
      <alignment horizontal="center" vertical="top"/>
      <protection locked="0"/>
    </xf>
    <xf numFmtId="2" fontId="8" fillId="0" borderId="5" xfId="4" applyNumberFormat="1" applyFont="1" applyFill="1" applyBorder="1" applyAlignment="1" applyProtection="1">
      <alignment horizontal="center" vertical="top"/>
      <protection locked="0"/>
    </xf>
    <xf numFmtId="169" fontId="7" fillId="0" borderId="0" xfId="0" applyNumberFormat="1" applyFont="1"/>
    <xf numFmtId="2" fontId="9" fillId="6" borderId="42" xfId="1" applyNumberFormat="1" applyFont="1" applyFill="1" applyBorder="1" applyAlignment="1" applyProtection="1">
      <alignment horizontal="center" vertical="top"/>
      <protection locked="0"/>
    </xf>
    <xf numFmtId="2" fontId="7" fillId="0" borderId="0" xfId="0" applyNumberFormat="1" applyFont="1"/>
    <xf numFmtId="164" fontId="8" fillId="0" borderId="82" xfId="4" applyNumberFormat="1" applyFont="1" applyFill="1" applyBorder="1" applyAlignment="1" applyProtection="1">
      <alignment vertical="top"/>
      <protection locked="0"/>
    </xf>
    <xf numFmtId="167" fontId="8" fillId="0" borderId="39" xfId="1" applyNumberFormat="1" applyFont="1" applyFill="1" applyBorder="1" applyAlignment="1" applyProtection="1">
      <alignment vertical="top"/>
      <protection locked="0"/>
    </xf>
    <xf numFmtId="167" fontId="8" fillId="0" borderId="44" xfId="0" applyNumberFormat="1" applyFont="1" applyFill="1" applyBorder="1" applyAlignment="1" applyProtection="1">
      <alignment horizontal="center" vertical="top"/>
    </xf>
    <xf numFmtId="2" fontId="8" fillId="0" borderId="43" xfId="4" applyNumberFormat="1" applyFont="1" applyFill="1" applyBorder="1" applyAlignment="1" applyProtection="1">
      <alignment horizontal="center" vertical="top"/>
      <protection locked="0"/>
    </xf>
    <xf numFmtId="167" fontId="8" fillId="0" borderId="41" xfId="1" applyNumberFormat="1" applyFont="1" applyFill="1" applyBorder="1" applyAlignment="1" applyProtection="1">
      <alignment horizontal="center" vertical="top"/>
      <protection locked="0"/>
    </xf>
    <xf numFmtId="2" fontId="9" fillId="0" borderId="41" xfId="1" applyNumberFormat="1" applyFont="1" applyFill="1" applyBorder="1" applyAlignment="1" applyProtection="1">
      <alignment horizontal="center" vertical="top"/>
      <protection locked="0"/>
    </xf>
    <xf numFmtId="165" fontId="7" fillId="0" borderId="0" xfId="0" applyNumberFormat="1" applyFont="1"/>
    <xf numFmtId="2" fontId="7" fillId="0" borderId="0" xfId="0" applyNumberFormat="1" applyFont="1" applyAlignment="1" applyProtection="1">
      <alignment vertical="top"/>
    </xf>
    <xf numFmtId="167" fontId="4" fillId="3" borderId="1" xfId="1" applyNumberFormat="1" applyFont="1" applyFill="1" applyBorder="1" applyAlignment="1" applyProtection="1">
      <alignment horizontal="center"/>
      <protection locked="0"/>
    </xf>
    <xf numFmtId="168" fontId="21" fillId="6" borderId="73" xfId="4" applyNumberFormat="1" applyFont="1" applyFill="1" applyBorder="1" applyAlignment="1" applyProtection="1">
      <alignment horizontal="center" vertical="top"/>
      <protection locked="0"/>
    </xf>
    <xf numFmtId="0" fontId="7" fillId="0" borderId="22" xfId="0" applyFont="1" applyFill="1" applyBorder="1" applyAlignment="1" applyProtection="1">
      <alignment horizontal="center" vertical="top"/>
    </xf>
    <xf numFmtId="0" fontId="7" fillId="0" borderId="23" xfId="0" applyFont="1" applyFill="1" applyBorder="1" applyAlignment="1" applyProtection="1">
      <alignment horizontal="center" vertical="top"/>
    </xf>
    <xf numFmtId="0" fontId="11" fillId="0" borderId="16" xfId="0" applyFont="1" applyFill="1" applyBorder="1" applyAlignment="1" applyProtection="1">
      <alignment horizontal="center" vertical="top"/>
    </xf>
    <xf numFmtId="0" fontId="7" fillId="0" borderId="7" xfId="0" applyFont="1" applyFill="1" applyBorder="1" applyAlignment="1" applyProtection="1">
      <alignment horizontal="center" vertical="top"/>
      <protection locked="0"/>
    </xf>
    <xf numFmtId="9" fontId="8" fillId="0" borderId="1" xfId="1" applyFont="1" applyFill="1" applyBorder="1" applyAlignment="1" applyProtection="1">
      <alignment horizontal="center" vertical="top"/>
      <protection locked="0"/>
    </xf>
    <xf numFmtId="166" fontId="8" fillId="0" borderId="9" xfId="0" applyNumberFormat="1" applyFont="1" applyFill="1" applyBorder="1" applyAlignment="1" applyProtection="1">
      <alignment horizontal="center" vertical="top"/>
    </xf>
    <xf numFmtId="166" fontId="8" fillId="0" borderId="10" xfId="0" applyNumberFormat="1" applyFont="1" applyFill="1" applyBorder="1" applyAlignment="1" applyProtection="1">
      <alignment horizontal="center" vertical="top"/>
    </xf>
    <xf numFmtId="166" fontId="8" fillId="0" borderId="11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right" vertical="top"/>
    </xf>
    <xf numFmtId="9" fontId="8" fillId="0" borderId="11" xfId="1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7" fillId="0" borderId="11" xfId="0" applyFont="1" applyBorder="1" applyAlignment="1" applyProtection="1">
      <alignment vertical="top"/>
    </xf>
    <xf numFmtId="1" fontId="25" fillId="2" borderId="1" xfId="2" applyNumberFormat="1" applyFont="1" applyBorder="1" applyAlignment="1" applyProtection="1">
      <alignment horizontal="center"/>
      <protection locked="0"/>
    </xf>
    <xf numFmtId="2" fontId="26" fillId="2" borderId="5" xfId="2" applyNumberFormat="1" applyFont="1" applyBorder="1" applyProtection="1"/>
    <xf numFmtId="2" fontId="8" fillId="0" borderId="11" xfId="1" applyNumberFormat="1" applyFont="1" applyFill="1" applyBorder="1" applyAlignment="1" applyProtection="1">
      <alignment horizontal="center" vertical="top"/>
    </xf>
    <xf numFmtId="0" fontId="3" fillId="0" borderId="6" xfId="0" applyFont="1" applyBorder="1"/>
    <xf numFmtId="0" fontId="3" fillId="0" borderId="8" xfId="0" applyFont="1" applyBorder="1"/>
    <xf numFmtId="2" fontId="4" fillId="3" borderId="8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left" indent="1"/>
    </xf>
    <xf numFmtId="1" fontId="21" fillId="6" borderId="71" xfId="1" applyNumberFormat="1" applyFont="1" applyFill="1" applyBorder="1" applyAlignment="1" applyProtection="1">
      <alignment horizontal="center" vertical="top"/>
      <protection locked="0"/>
    </xf>
    <xf numFmtId="166" fontId="20" fillId="0" borderId="83" xfId="0" applyNumberFormat="1" applyFont="1" applyFill="1" applyBorder="1" applyAlignment="1" applyProtection="1">
      <alignment horizontal="center" vertical="top"/>
    </xf>
    <xf numFmtId="166" fontId="20" fillId="0" borderId="84" xfId="0" applyNumberFormat="1" applyFont="1" applyFill="1" applyBorder="1" applyAlignment="1" applyProtection="1">
      <alignment horizontal="center" vertical="top"/>
    </xf>
    <xf numFmtId="1" fontId="21" fillId="6" borderId="85" xfId="1" applyNumberFormat="1" applyFont="1" applyFill="1" applyBorder="1" applyAlignment="1" applyProtection="1">
      <alignment horizontal="center" vertical="top"/>
      <protection locked="0"/>
    </xf>
    <xf numFmtId="165" fontId="21" fillId="6" borderId="86" xfId="1" applyNumberFormat="1" applyFont="1" applyFill="1" applyBorder="1" applyAlignment="1" applyProtection="1">
      <alignment horizontal="center" vertical="top"/>
      <protection locked="0"/>
    </xf>
    <xf numFmtId="165" fontId="21" fillId="6" borderId="1" xfId="1" applyNumberFormat="1" applyFont="1" applyFill="1" applyBorder="1" applyAlignment="1" applyProtection="1">
      <alignment horizontal="center" vertical="top"/>
      <protection locked="0"/>
    </xf>
    <xf numFmtId="167" fontId="21" fillId="6" borderId="1" xfId="1" applyNumberFormat="1" applyFont="1" applyFill="1" applyBorder="1" applyAlignment="1" applyProtection="1">
      <alignment vertical="top"/>
      <protection locked="0"/>
    </xf>
    <xf numFmtId="168" fontId="21" fillId="6" borderId="1" xfId="4" applyNumberFormat="1" applyFont="1" applyFill="1" applyBorder="1" applyAlignment="1" applyProtection="1">
      <alignment vertical="top"/>
      <protection locked="0"/>
    </xf>
    <xf numFmtId="168" fontId="21" fillId="6" borderId="75" xfId="4" applyNumberFormat="1" applyFont="1" applyFill="1" applyBorder="1" applyAlignment="1" applyProtection="1">
      <alignment horizontal="center" vertical="top"/>
      <protection locked="0"/>
    </xf>
    <xf numFmtId="1" fontId="3" fillId="0" borderId="1" xfId="0" applyNumberFormat="1" applyFont="1" applyBorder="1" applyAlignment="1">
      <alignment horizontal="center"/>
    </xf>
    <xf numFmtId="2" fontId="21" fillId="6" borderId="1" xfId="1" applyNumberFormat="1" applyFont="1" applyFill="1" applyBorder="1" applyAlignment="1" applyProtection="1">
      <alignment vertical="top"/>
      <protection locked="0"/>
    </xf>
    <xf numFmtId="2" fontId="21" fillId="6" borderId="86" xfId="1" applyNumberFormat="1" applyFont="1" applyFill="1" applyBorder="1" applyAlignment="1" applyProtection="1">
      <alignment vertical="top"/>
      <protection locked="0"/>
    </xf>
    <xf numFmtId="170" fontId="0" fillId="0" borderId="0" xfId="0" applyNumberFormat="1"/>
    <xf numFmtId="2" fontId="0" fillId="0" borderId="0" xfId="0" applyNumberFormat="1"/>
    <xf numFmtId="2" fontId="9" fillId="6" borderId="61" xfId="4" applyNumberFormat="1" applyFont="1" applyFill="1" applyBorder="1" applyAlignment="1" applyProtection="1">
      <alignment vertical="top"/>
      <protection locked="0"/>
    </xf>
    <xf numFmtId="165" fontId="9" fillId="6" borderId="73" xfId="1" applyNumberFormat="1" applyFont="1" applyFill="1" applyBorder="1" applyAlignment="1" applyProtection="1">
      <alignment vertical="top"/>
      <protection locked="0"/>
    </xf>
    <xf numFmtId="167" fontId="21" fillId="6" borderId="86" xfId="1" applyNumberFormat="1" applyFont="1" applyFill="1" applyBorder="1" applyAlignment="1" applyProtection="1">
      <alignment horizontal="center" vertical="top"/>
      <protection locked="0"/>
    </xf>
    <xf numFmtId="167" fontId="21" fillId="6" borderId="1" xfId="1" applyNumberFormat="1" applyFont="1" applyFill="1" applyBorder="1" applyAlignment="1" applyProtection="1">
      <alignment horizontal="center" vertical="top"/>
      <protection locked="0"/>
    </xf>
    <xf numFmtId="0" fontId="27" fillId="0" borderId="0" xfId="0" applyFont="1"/>
    <xf numFmtId="0" fontId="7" fillId="0" borderId="1" xfId="0" applyFont="1" applyBorder="1"/>
    <xf numFmtId="2" fontId="9" fillId="6" borderId="1" xfId="0" applyNumberFormat="1" applyFont="1" applyFill="1" applyBorder="1" applyAlignment="1" applyProtection="1">
      <alignment horizontal="center"/>
      <protection locked="0"/>
    </xf>
    <xf numFmtId="0" fontId="28" fillId="0" borderId="5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1" fontId="9" fillId="6" borderId="1" xfId="0" applyNumberFormat="1" applyFont="1" applyFill="1" applyBorder="1" applyAlignment="1" applyProtection="1">
      <alignment horizontal="center"/>
      <protection locked="0"/>
    </xf>
    <xf numFmtId="0" fontId="28" fillId="0" borderId="3" xfId="0" applyFont="1" applyBorder="1" applyAlignment="1">
      <alignment vertical="center"/>
    </xf>
    <xf numFmtId="0" fontId="7" fillId="0" borderId="39" xfId="0" applyFont="1" applyBorder="1"/>
    <xf numFmtId="165" fontId="9" fillId="6" borderId="1" xfId="0" applyNumberFormat="1" applyFont="1" applyFill="1" applyBorder="1" applyAlignment="1" applyProtection="1">
      <alignment horizontal="center"/>
      <protection locked="0"/>
    </xf>
    <xf numFmtId="167" fontId="7" fillId="0" borderId="1" xfId="1" applyNumberFormat="1" applyFont="1" applyBorder="1" applyProtection="1"/>
    <xf numFmtId="0" fontId="7" fillId="0" borderId="1" xfId="0" applyFont="1" applyBorder="1" applyAlignment="1">
      <alignment horizontal="center"/>
    </xf>
    <xf numFmtId="167" fontId="9" fillId="6" borderId="1" xfId="1" applyNumberFormat="1" applyFont="1" applyFill="1" applyBorder="1" applyAlignment="1" applyProtection="1">
      <alignment horizontal="center"/>
      <protection locked="0"/>
    </xf>
    <xf numFmtId="9" fontId="7" fillId="0" borderId="1" xfId="1" applyFont="1" applyBorder="1" applyProtection="1"/>
    <xf numFmtId="0" fontId="27" fillId="0" borderId="0" xfId="0" applyFont="1" applyProtection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166" fontId="8" fillId="0" borderId="1" xfId="0" applyNumberFormat="1" applyFont="1" applyFill="1" applyBorder="1" applyAlignment="1" applyProtection="1">
      <alignment horizontal="center" vertical="top"/>
    </xf>
    <xf numFmtId="164" fontId="9" fillId="6" borderId="1" xfId="1" applyNumberFormat="1" applyFont="1" applyFill="1" applyBorder="1" applyAlignment="1" applyProtection="1">
      <alignment vertical="top"/>
      <protection locked="0"/>
    </xf>
    <xf numFmtId="2" fontId="7" fillId="0" borderId="1" xfId="0" applyNumberFormat="1" applyFont="1" applyBorder="1"/>
    <xf numFmtId="169" fontId="7" fillId="0" borderId="1" xfId="0" applyNumberFormat="1" applyFont="1" applyBorder="1"/>
    <xf numFmtId="3" fontId="7" fillId="0" borderId="1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3" fillId="0" borderId="1" xfId="0" applyFont="1" applyBorder="1" applyAlignment="1"/>
    <xf numFmtId="164" fontId="27" fillId="0" borderId="1" xfId="0" applyNumberFormat="1" applyFont="1" applyBorder="1" applyAlignment="1">
      <alignment horizontal="center"/>
    </xf>
    <xf numFmtId="10" fontId="7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18" fillId="0" borderId="6" xfId="0" applyFont="1" applyFill="1" applyBorder="1" applyAlignment="1" applyProtection="1">
      <alignment horizontal="center" vertical="top" wrapText="1"/>
    </xf>
    <xf numFmtId="0" fontId="18" fillId="0" borderId="7" xfId="0" applyFont="1" applyFill="1" applyBorder="1" applyAlignment="1" applyProtection="1">
      <alignment horizontal="center" vertical="top" wrapText="1"/>
    </xf>
    <xf numFmtId="0" fontId="18" fillId="0" borderId="54" xfId="0" applyFont="1" applyFill="1" applyBorder="1" applyAlignment="1" applyProtection="1">
      <alignment horizontal="center" vertical="top" wrapText="1"/>
    </xf>
    <xf numFmtId="0" fontId="7" fillId="0" borderId="21" xfId="0" applyFont="1" applyFill="1" applyBorder="1" applyAlignment="1" applyProtection="1">
      <alignment horizontal="center" vertical="top"/>
    </xf>
    <xf numFmtId="0" fontId="7" fillId="0" borderId="22" xfId="0" applyFont="1" applyFill="1" applyBorder="1" applyAlignment="1" applyProtection="1">
      <alignment horizontal="center" vertical="top"/>
    </xf>
    <xf numFmtId="0" fontId="7" fillId="0" borderId="23" xfId="0" applyFont="1" applyFill="1" applyBorder="1" applyAlignment="1" applyProtection="1">
      <alignment horizontal="center" vertical="top"/>
    </xf>
    <xf numFmtId="39" fontId="9" fillId="6" borderId="6" xfId="4" applyNumberFormat="1" applyFont="1" applyFill="1" applyBorder="1" applyAlignment="1" applyProtection="1">
      <alignment horizontal="center" vertical="top"/>
    </xf>
    <xf numFmtId="39" fontId="9" fillId="6" borderId="8" xfId="4" applyNumberFormat="1" applyFont="1" applyFill="1" applyBorder="1" applyAlignment="1" applyProtection="1">
      <alignment horizontal="center" vertical="top"/>
    </xf>
    <xf numFmtId="0" fontId="16" fillId="0" borderId="45" xfId="0" applyFont="1" applyFill="1" applyBorder="1" applyAlignment="1" applyProtection="1">
      <alignment horizontal="center" vertical="top"/>
    </xf>
    <xf numFmtId="0" fontId="16" fillId="0" borderId="46" xfId="0" applyFont="1" applyFill="1" applyBorder="1" applyAlignment="1" applyProtection="1">
      <alignment horizontal="center" vertical="top"/>
    </xf>
    <xf numFmtId="0" fontId="16" fillId="0" borderId="47" xfId="0" applyFont="1" applyFill="1" applyBorder="1" applyAlignment="1" applyProtection="1">
      <alignment horizontal="center" vertical="top"/>
    </xf>
    <xf numFmtId="0" fontId="12" fillId="0" borderId="24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12" fillId="0" borderId="52" xfId="0" applyFont="1" applyFill="1" applyBorder="1" applyAlignment="1" applyProtection="1">
      <alignment horizontal="left" vertical="top" wrapText="1"/>
    </xf>
    <xf numFmtId="0" fontId="12" fillId="0" borderId="26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55" xfId="0" applyFont="1" applyFill="1" applyBorder="1" applyAlignment="1" applyProtection="1">
      <alignment horizontal="left" vertical="top" wrapText="1"/>
    </xf>
    <xf numFmtId="39" fontId="9" fillId="6" borderId="7" xfId="4" applyNumberFormat="1" applyFont="1" applyFill="1" applyBorder="1" applyAlignment="1" applyProtection="1">
      <alignment horizontal="center" vertical="top"/>
    </xf>
    <xf numFmtId="0" fontId="9" fillId="6" borderId="21" xfId="0" applyFont="1" applyFill="1" applyBorder="1" applyAlignment="1" applyProtection="1">
      <alignment horizontal="center" vertical="top"/>
      <protection locked="0"/>
    </xf>
    <xf numFmtId="0" fontId="9" fillId="6" borderId="22" xfId="0" applyFont="1" applyFill="1" applyBorder="1" applyAlignment="1" applyProtection="1">
      <alignment horizontal="center" vertical="top"/>
      <protection locked="0"/>
    </xf>
    <xf numFmtId="0" fontId="9" fillId="6" borderId="23" xfId="0" applyFont="1" applyFill="1" applyBorder="1" applyAlignment="1" applyProtection="1">
      <alignment horizontal="center" vertical="top"/>
      <protection locked="0"/>
    </xf>
    <xf numFmtId="0" fontId="9" fillId="6" borderId="6" xfId="0" applyFont="1" applyFill="1" applyBorder="1" applyAlignment="1" applyProtection="1">
      <alignment horizontal="center" vertical="top"/>
      <protection locked="0"/>
    </xf>
    <xf numFmtId="0" fontId="9" fillId="6" borderId="7" xfId="0" applyFont="1" applyFill="1" applyBorder="1" applyAlignment="1" applyProtection="1">
      <alignment horizontal="center" vertical="top"/>
      <protection locked="0"/>
    </xf>
    <xf numFmtId="0" fontId="9" fillId="6" borderId="8" xfId="0" applyFont="1" applyFill="1" applyBorder="1" applyAlignment="1" applyProtection="1">
      <alignment horizontal="center" vertical="top"/>
      <protection locked="0"/>
    </xf>
    <xf numFmtId="0" fontId="9" fillId="6" borderId="28" xfId="0" applyFont="1" applyFill="1" applyBorder="1" applyAlignment="1" applyProtection="1">
      <alignment horizontal="center" vertical="top"/>
      <protection locked="0"/>
    </xf>
    <xf numFmtId="0" fontId="9" fillId="6" borderId="29" xfId="0" applyFont="1" applyFill="1" applyBorder="1" applyAlignment="1" applyProtection="1">
      <alignment horizontal="center" vertical="top"/>
      <protection locked="0"/>
    </xf>
    <xf numFmtId="0" fontId="9" fillId="6" borderId="30" xfId="0" applyFont="1" applyFill="1" applyBorder="1" applyAlignment="1" applyProtection="1">
      <alignment horizontal="center" vertical="top"/>
      <protection locked="0"/>
    </xf>
    <xf numFmtId="0" fontId="12" fillId="0" borderId="10" xfId="0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 applyProtection="1">
      <alignment horizontal="left" vertical="top" wrapText="1"/>
    </xf>
    <xf numFmtId="0" fontId="12" fillId="0" borderId="31" xfId="0" applyFont="1" applyFill="1" applyBorder="1" applyAlignment="1" applyProtection="1">
      <alignment horizontal="left" vertical="top" wrapText="1"/>
    </xf>
    <xf numFmtId="0" fontId="12" fillId="0" borderId="15" xfId="0" applyFont="1" applyFill="1" applyBorder="1" applyAlignment="1" applyProtection="1">
      <alignment horizontal="left" vertical="top" wrapText="1"/>
    </xf>
    <xf numFmtId="0" fontId="12" fillId="0" borderId="3" xfId="0" applyFont="1" applyFill="1" applyBorder="1" applyAlignment="1" applyProtection="1">
      <alignment horizontal="left" vertical="top" wrapText="1"/>
    </xf>
    <xf numFmtId="0" fontId="11" fillId="0" borderId="16" xfId="0" applyFont="1" applyFill="1" applyBorder="1" applyAlignment="1" applyProtection="1">
      <alignment horizontal="center" vertical="top"/>
    </xf>
    <xf numFmtId="0" fontId="11" fillId="0" borderId="17" xfId="0" applyFont="1" applyFill="1" applyBorder="1" applyAlignment="1" applyProtection="1">
      <alignment horizontal="center" vertical="top"/>
    </xf>
    <xf numFmtId="0" fontId="11" fillId="0" borderId="18" xfId="0" applyFont="1" applyFill="1" applyBorder="1" applyAlignment="1" applyProtection="1">
      <alignment horizontal="center" vertical="top"/>
    </xf>
    <xf numFmtId="164" fontId="9" fillId="6" borderId="6" xfId="4" applyNumberFormat="1" applyFont="1" applyFill="1" applyBorder="1" applyAlignment="1" applyProtection="1">
      <alignment horizontal="center" vertical="top"/>
      <protection locked="0"/>
    </xf>
    <xf numFmtId="164" fontId="9" fillId="6" borderId="7" xfId="4" applyNumberFormat="1" applyFont="1" applyFill="1" applyBorder="1" applyAlignment="1" applyProtection="1">
      <alignment horizontal="center" vertical="top"/>
      <protection locked="0"/>
    </xf>
    <xf numFmtId="164" fontId="9" fillId="6" borderId="8" xfId="4" applyNumberFormat="1" applyFont="1" applyFill="1" applyBorder="1" applyAlignment="1" applyProtection="1">
      <alignment horizontal="center" vertical="top"/>
      <protection locked="0"/>
    </xf>
    <xf numFmtId="164" fontId="7" fillId="0" borderId="6" xfId="4" applyNumberFormat="1" applyFont="1" applyFill="1" applyBorder="1" applyAlignment="1" applyProtection="1">
      <alignment horizontal="center" vertical="top"/>
      <protection locked="0"/>
    </xf>
    <xf numFmtId="164" fontId="7" fillId="0" borderId="7" xfId="4" applyNumberFormat="1" applyFont="1" applyFill="1" applyBorder="1" applyAlignment="1" applyProtection="1">
      <alignment horizontal="center" vertical="top"/>
      <protection locked="0"/>
    </xf>
    <xf numFmtId="164" fontId="7" fillId="0" borderId="8" xfId="4" applyNumberFormat="1" applyFont="1" applyFill="1" applyBorder="1" applyAlignment="1" applyProtection="1">
      <alignment horizontal="center" vertical="top"/>
      <protection locked="0"/>
    </xf>
    <xf numFmtId="167" fontId="9" fillId="6" borderId="28" xfId="1" applyNumberFormat="1" applyFont="1" applyFill="1" applyBorder="1" applyAlignment="1" applyProtection="1">
      <alignment horizontal="center" vertical="top"/>
      <protection locked="0"/>
    </xf>
    <xf numFmtId="167" fontId="9" fillId="6" borderId="29" xfId="1" applyNumberFormat="1" applyFont="1" applyFill="1" applyBorder="1" applyAlignment="1" applyProtection="1">
      <alignment horizontal="center" vertical="top"/>
      <protection locked="0"/>
    </xf>
    <xf numFmtId="167" fontId="9" fillId="6" borderId="30" xfId="1" applyNumberFormat="1" applyFont="1" applyFill="1" applyBorder="1" applyAlignment="1" applyProtection="1">
      <alignment horizontal="center" vertical="top"/>
      <protection locked="0"/>
    </xf>
    <xf numFmtId="0" fontId="29" fillId="0" borderId="0" xfId="0" applyFont="1"/>
  </cellXfs>
  <cellStyles count="6">
    <cellStyle name="Comma" xfId="4" builtinId="3"/>
    <cellStyle name="Good" xfId="2" builtinId="26"/>
    <cellStyle name="Normal" xfId="0" builtinId="0"/>
    <cellStyle name="Normal_PUMP_VIS" xfId="5"/>
    <cellStyle name="Percent" xfId="1" builtinId="5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Size Distribution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#REF!$C$40:$C$51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#REF!$D$40:$D$51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2"/>
          <c:order val="2"/>
          <c:spPr>
            <a:ln w="38100">
              <a:solidFill>
                <a:srgbClr val="FFFF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#REF!$E$40:$E$51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315584"/>
        <c:axId val="279460864"/>
      </c:scatterChart>
      <c:valAx>
        <c:axId val="279315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Size (inches)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9460864"/>
        <c:crosses val="autoZero"/>
        <c:crossBetween val="midCat"/>
      </c:valAx>
      <c:valAx>
        <c:axId val="27946086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Wt.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9315584"/>
        <c:crosses val="autoZero"/>
        <c:crossBetween val="midCat"/>
        <c:majorUnit val="0.2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Size Distribution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#REF!$C$40:$C$51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#REF!$D$40:$D$51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2"/>
          <c:order val="2"/>
          <c:spPr>
            <a:ln w="38100">
              <a:solidFill>
                <a:srgbClr val="FFFF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#REF!$E$40:$E$51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356160"/>
        <c:axId val="279358464"/>
      </c:scatterChart>
      <c:valAx>
        <c:axId val="27935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Size (inches)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9358464"/>
        <c:crosses val="autoZero"/>
        <c:crossBetween val="midCat"/>
      </c:valAx>
      <c:valAx>
        <c:axId val="27935846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Wt.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9356160"/>
        <c:crosses val="autoZero"/>
        <c:crossBetween val="midCat"/>
        <c:majorUnit val="0.2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Size Distribution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#REF!$C$40:$C$51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#REF!$D$40:$D$51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2"/>
          <c:order val="2"/>
          <c:spPr>
            <a:ln w="38100">
              <a:solidFill>
                <a:srgbClr val="FFFF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#REF!$E$40:$E$51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529152"/>
        <c:axId val="280535808"/>
      </c:scatterChart>
      <c:valAx>
        <c:axId val="28052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Size (inches)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535808"/>
        <c:crosses val="autoZero"/>
        <c:crossBetween val="midCat"/>
      </c:valAx>
      <c:valAx>
        <c:axId val="2805358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Wt.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529152"/>
        <c:crosses val="autoZero"/>
        <c:crossBetween val="midCat"/>
        <c:majorUnit val="0.2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Size Distribution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#REF!$C$40:$C$51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#REF!$D$40:$D$51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2"/>
          <c:order val="2"/>
          <c:spPr>
            <a:ln w="38100">
              <a:solidFill>
                <a:srgbClr val="FFFF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#REF!$E$40:$E$51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828160"/>
        <c:axId val="280838912"/>
      </c:scatterChart>
      <c:valAx>
        <c:axId val="28082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Size (inches)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38912"/>
        <c:crosses val="autoZero"/>
        <c:crossBetween val="midCat"/>
      </c:valAx>
      <c:valAx>
        <c:axId val="28083891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Wt.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28160"/>
        <c:crosses val="autoZero"/>
        <c:crossBetween val="midCat"/>
        <c:majorUnit val="0.2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Size Distribution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#REF!$C$40:$C$51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#REF!$D$40:$D$51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2"/>
          <c:order val="2"/>
          <c:spPr>
            <a:ln w="38100">
              <a:solidFill>
                <a:srgbClr val="FFFF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#REF!$B$40:$B$51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#REF!$E$40:$E$51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877312"/>
        <c:axId val="280883968"/>
      </c:scatterChart>
      <c:valAx>
        <c:axId val="28087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Size (inches)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83968"/>
        <c:crosses val="autoZero"/>
        <c:crossBetween val="midCat"/>
      </c:valAx>
      <c:valAx>
        <c:axId val="28088396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Wt.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77312"/>
        <c:crosses val="autoZero"/>
        <c:crossBetween val="midCat"/>
        <c:majorUnit val="0.2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38099</xdr:rowOff>
    </xdr:from>
    <xdr:to>
      <xdr:col>23</xdr:col>
      <xdr:colOff>22860</xdr:colOff>
      <xdr:row>50</xdr:row>
      <xdr:rowOff>106968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8099"/>
          <a:ext cx="13990320" cy="9212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33</xdr:row>
      <xdr:rowOff>7620</xdr:rowOff>
    </xdr:from>
    <xdr:to>
      <xdr:col>5</xdr:col>
      <xdr:colOff>0</xdr:colOff>
      <xdr:row>45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31</xdr:row>
      <xdr:rowOff>7620</xdr:rowOff>
    </xdr:from>
    <xdr:to>
      <xdr:col>15</xdr:col>
      <xdr:colOff>0</xdr:colOff>
      <xdr:row>44</xdr:row>
      <xdr:rowOff>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31</xdr:row>
      <xdr:rowOff>7620</xdr:rowOff>
    </xdr:from>
    <xdr:to>
      <xdr:col>25</xdr:col>
      <xdr:colOff>0</xdr:colOff>
      <xdr:row>44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32</xdr:row>
      <xdr:rowOff>7620</xdr:rowOff>
    </xdr:from>
    <xdr:to>
      <xdr:col>35</xdr:col>
      <xdr:colOff>0</xdr:colOff>
      <xdr:row>45</xdr:row>
      <xdr:rowOff>0</xdr:rowOff>
    </xdr:to>
    <xdr:graphicFrame macro="">
      <xdr:nvGraphicFramePr>
        <xdr:cNvPr id="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0</xdr:colOff>
      <xdr:row>31</xdr:row>
      <xdr:rowOff>7620</xdr:rowOff>
    </xdr:from>
    <xdr:to>
      <xdr:col>35</xdr:col>
      <xdr:colOff>0</xdr:colOff>
      <xdr:row>44</xdr:row>
      <xdr:rowOff>0</xdr:rowOff>
    </xdr:to>
    <xdr:graphicFrame macro="">
      <xdr:nvGraphicFramePr>
        <xdr:cNvPr id="7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2" sqref="B2"/>
    </sheetView>
  </sheetViews>
  <sheetFormatPr defaultRowHeight="14.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79"/>
  <sheetViews>
    <sheetView tabSelected="1" zoomScaleNormal="100" workbookViewId="0">
      <selection activeCell="P4" sqref="P4"/>
    </sheetView>
  </sheetViews>
  <sheetFormatPr defaultRowHeight="14.4"/>
  <cols>
    <col min="1" max="1" width="3.33203125" customWidth="1"/>
    <col min="2" max="2" width="19" customWidth="1"/>
    <col min="3" max="4" width="9.44140625" customWidth="1"/>
    <col min="10" max="10" width="9.33203125" customWidth="1"/>
    <col min="15" max="15" width="9.21875" customWidth="1"/>
    <col min="23" max="23" width="8.5546875" customWidth="1"/>
  </cols>
  <sheetData>
    <row r="2" spans="2:10" ht="40.799999999999997">
      <c r="B2" s="356" t="s">
        <v>225</v>
      </c>
      <c r="E2" s="311" t="str">
        <f t="shared" ref="E2:E12" si="0">E29</f>
        <v>Crusher Dust Feed</v>
      </c>
      <c r="F2" s="311" t="str">
        <f>H29</f>
        <v>Screen Overs</v>
      </c>
      <c r="G2" s="311" t="str">
        <f>Q29</f>
        <v>Sizer U/F</v>
      </c>
      <c r="H2" s="311" t="str">
        <f>J55</f>
        <v>Sizer U/F</v>
      </c>
      <c r="I2" s="311" t="str">
        <f>N55</f>
        <v>Cyclones U/F</v>
      </c>
      <c r="J2" s="311" t="str">
        <f>O55</f>
        <v>To Thickener</v>
      </c>
    </row>
    <row r="3" spans="2:10">
      <c r="E3" s="272">
        <f t="shared" si="0"/>
        <v>1</v>
      </c>
      <c r="F3" s="7">
        <f>H30</f>
        <v>4</v>
      </c>
      <c r="G3" s="7">
        <f t="shared" ref="G3:G26" si="1">Q30</f>
        <v>13</v>
      </c>
      <c r="H3" s="7">
        <f>J56</f>
        <v>21</v>
      </c>
      <c r="I3" s="7">
        <f>N56</f>
        <v>25</v>
      </c>
      <c r="J3" s="7">
        <f>O56</f>
        <v>26</v>
      </c>
    </row>
    <row r="4" spans="2:10">
      <c r="B4" s="259" t="s">
        <v>2</v>
      </c>
      <c r="C4" s="260"/>
      <c r="D4" s="260"/>
      <c r="E4" s="9">
        <f t="shared" si="0"/>
        <v>2.7</v>
      </c>
      <c r="F4" s="9">
        <f>H31</f>
        <v>2.7</v>
      </c>
      <c r="G4" s="9">
        <f t="shared" si="1"/>
        <v>2.7</v>
      </c>
      <c r="H4" s="9">
        <f t="shared" ref="H4:H26" si="2">J57</f>
        <v>2.7</v>
      </c>
      <c r="I4" s="9">
        <f>N57</f>
        <v>2.7</v>
      </c>
      <c r="J4" s="9">
        <f t="shared" ref="J4:J26" si="3">O57</f>
        <v>2.7</v>
      </c>
    </row>
    <row r="5" spans="2:10">
      <c r="B5" s="259" t="s">
        <v>205</v>
      </c>
      <c r="C5" s="260"/>
      <c r="D5" s="260"/>
      <c r="E5" s="9">
        <f t="shared" si="0"/>
        <v>168.57426133256084</v>
      </c>
      <c r="F5" s="9">
        <f t="shared" ref="F5:F26" si="4">H32</f>
        <v>168.57426133256084</v>
      </c>
      <c r="G5" s="9">
        <f t="shared" si="1"/>
        <v>0</v>
      </c>
      <c r="H5" s="9">
        <f t="shared" si="2"/>
        <v>0</v>
      </c>
      <c r="I5" s="9">
        <f t="shared" ref="I5:I26" si="5">N58</f>
        <v>0</v>
      </c>
      <c r="J5" s="9">
        <f t="shared" si="3"/>
        <v>0</v>
      </c>
    </row>
    <row r="6" spans="2:10">
      <c r="B6" s="259" t="s">
        <v>3</v>
      </c>
      <c r="C6" s="260"/>
      <c r="D6" s="260"/>
      <c r="E6" s="9">
        <f t="shared" si="0"/>
        <v>300</v>
      </c>
      <c r="F6" s="9">
        <f t="shared" si="4"/>
        <v>77.221853477522984</v>
      </c>
      <c r="G6" s="9">
        <f t="shared" si="1"/>
        <v>89.641966547799484</v>
      </c>
      <c r="H6" s="9">
        <f t="shared" si="2"/>
        <v>56.775179935966875</v>
      </c>
      <c r="I6" s="9">
        <f t="shared" si="5"/>
        <v>50.431303751772454</v>
      </c>
      <c r="J6" s="9">
        <f t="shared" si="3"/>
        <v>25.929699286938238</v>
      </c>
    </row>
    <row r="7" spans="2:10">
      <c r="B7" s="259" t="s">
        <v>4</v>
      </c>
      <c r="C7" s="260"/>
      <c r="D7" s="260"/>
      <c r="E7" s="9">
        <f t="shared" si="0"/>
        <v>1</v>
      </c>
      <c r="F7" s="9">
        <f t="shared" si="4"/>
        <v>0.94</v>
      </c>
      <c r="G7" s="9">
        <f t="shared" si="1"/>
        <v>0.71499999999999997</v>
      </c>
      <c r="H7" s="9">
        <f t="shared" si="2"/>
        <v>0.71499999999999997</v>
      </c>
      <c r="I7" s="9">
        <f t="shared" si="5"/>
        <v>0.55000000000000004</v>
      </c>
      <c r="J7" s="9">
        <f t="shared" si="3"/>
        <v>2.5349782710282907E-2</v>
      </c>
    </row>
    <row r="8" spans="2:10">
      <c r="B8" s="259" t="s">
        <v>5</v>
      </c>
      <c r="C8" s="260"/>
      <c r="D8" s="260"/>
      <c r="E8" s="9">
        <f t="shared" si="0"/>
        <v>300</v>
      </c>
      <c r="F8" s="9">
        <f t="shared" si="4"/>
        <v>82.150907954811686</v>
      </c>
      <c r="G8" s="9">
        <f t="shared" si="1"/>
        <v>125.37337978713215</v>
      </c>
      <c r="H8" s="9">
        <f t="shared" si="2"/>
        <v>79.405846064289335</v>
      </c>
      <c r="I8" s="9">
        <f t="shared" si="5"/>
        <v>91.693279548677182</v>
      </c>
      <c r="J8" s="9">
        <f t="shared" si="3"/>
        <v>1022.8765896450897</v>
      </c>
    </row>
    <row r="9" spans="2:10">
      <c r="B9" s="259" t="s">
        <v>6</v>
      </c>
      <c r="C9" s="260"/>
      <c r="D9" s="260"/>
      <c r="E9" s="9">
        <f t="shared" si="0"/>
        <v>2.7</v>
      </c>
      <c r="F9" s="9">
        <f t="shared" si="4"/>
        <v>2.4500907441016331</v>
      </c>
      <c r="G9" s="9">
        <f t="shared" si="1"/>
        <v>1.8187942068036378</v>
      </c>
      <c r="H9" s="9">
        <f t="shared" si="2"/>
        <v>1.8187942068036378</v>
      </c>
      <c r="I9" s="9">
        <f t="shared" si="5"/>
        <v>1.5297450424929182</v>
      </c>
      <c r="J9" s="9">
        <f t="shared" si="3"/>
        <v>1.0162198590525391</v>
      </c>
    </row>
    <row r="10" spans="2:10">
      <c r="B10" s="259" t="s">
        <v>7</v>
      </c>
      <c r="C10" s="260"/>
      <c r="D10" s="260"/>
      <c r="E10" s="9">
        <f t="shared" si="0"/>
        <v>1</v>
      </c>
      <c r="F10" s="9">
        <f t="shared" si="4"/>
        <v>0.85299455535390167</v>
      </c>
      <c r="G10" s="9">
        <f t="shared" si="1"/>
        <v>0.48164365106096335</v>
      </c>
      <c r="H10" s="9">
        <f t="shared" si="2"/>
        <v>0.48164365106096335</v>
      </c>
      <c r="I10" s="9">
        <f t="shared" si="5"/>
        <v>0.31161473087818714</v>
      </c>
      <c r="J10" s="9">
        <f t="shared" si="3"/>
        <v>9.5410935603171092E-3</v>
      </c>
    </row>
    <row r="11" spans="2:10">
      <c r="B11" s="259" t="s">
        <v>8</v>
      </c>
      <c r="C11" s="260"/>
      <c r="D11" s="260"/>
      <c r="E11" s="9">
        <f t="shared" si="0"/>
        <v>444.4444444444444</v>
      </c>
      <c r="F11" s="9">
        <f t="shared" si="4"/>
        <v>134.11896380178146</v>
      </c>
      <c r="G11" s="9">
        <f t="shared" si="1"/>
        <v>275.72856636147799</v>
      </c>
      <c r="H11" s="9">
        <f t="shared" si="2"/>
        <v>174.63404219620372</v>
      </c>
      <c r="I11" s="9">
        <f t="shared" si="5"/>
        <v>239.76094578283733</v>
      </c>
      <c r="J11" s="9">
        <f t="shared" si="3"/>
        <v>4026.2019307465885</v>
      </c>
    </row>
    <row r="12" spans="2:10">
      <c r="B12" s="259" t="s">
        <v>9</v>
      </c>
      <c r="C12" s="260"/>
      <c r="D12" s="260"/>
      <c r="E12" s="9">
        <f t="shared" si="0"/>
        <v>0</v>
      </c>
      <c r="F12" s="9">
        <f t="shared" si="4"/>
        <v>19.716217909154825</v>
      </c>
      <c r="G12" s="9">
        <f t="shared" si="1"/>
        <v>142.92565295733067</v>
      </c>
      <c r="H12" s="9">
        <f t="shared" si="2"/>
        <v>90.52266451328984</v>
      </c>
      <c r="I12" s="9">
        <f t="shared" si="5"/>
        <v>165.04790318761891</v>
      </c>
      <c r="J12" s="9">
        <f t="shared" si="3"/>
        <v>3987.7875614326058</v>
      </c>
    </row>
    <row r="13" spans="2:10">
      <c r="B13" s="209" t="s">
        <v>35</v>
      </c>
      <c r="C13" s="209" t="s">
        <v>35</v>
      </c>
      <c r="D13" s="209" t="s">
        <v>201</v>
      </c>
      <c r="E13" s="218"/>
      <c r="F13" s="9"/>
      <c r="G13" s="9"/>
      <c r="H13" s="9"/>
      <c r="I13" s="9"/>
      <c r="J13" s="9"/>
    </row>
    <row r="14" spans="2:10">
      <c r="B14" s="264" t="s">
        <v>39</v>
      </c>
      <c r="C14" s="264" t="s">
        <v>159</v>
      </c>
      <c r="D14" s="264" t="s">
        <v>156</v>
      </c>
      <c r="E14" s="265" t="s">
        <v>57</v>
      </c>
      <c r="F14" s="9" t="str">
        <f t="shared" si="4"/>
        <v>t/hr</v>
      </c>
      <c r="G14" s="9" t="str">
        <f t="shared" si="1"/>
        <v>t/hr</v>
      </c>
      <c r="H14" s="9" t="str">
        <f t="shared" si="2"/>
        <v>t/hr</v>
      </c>
      <c r="I14" s="9" t="str">
        <f t="shared" si="5"/>
        <v>t/hr</v>
      </c>
      <c r="J14" s="9">
        <f t="shared" si="3"/>
        <v>0</v>
      </c>
    </row>
    <row r="15" spans="2:10">
      <c r="B15" s="9">
        <f>B42</f>
        <v>4760</v>
      </c>
      <c r="C15" s="9">
        <f t="shared" ref="C15:E15" si="6">C42</f>
        <v>0.187</v>
      </c>
      <c r="D15" s="9">
        <f t="shared" si="6"/>
        <v>0</v>
      </c>
      <c r="E15" s="9">
        <f t="shared" si="6"/>
        <v>0</v>
      </c>
      <c r="F15" s="9">
        <f t="shared" si="4"/>
        <v>3.0000000000000001E-6</v>
      </c>
      <c r="G15" s="9">
        <f t="shared" si="1"/>
        <v>0</v>
      </c>
      <c r="H15" s="9">
        <f t="shared" si="2"/>
        <v>0</v>
      </c>
      <c r="I15" s="9">
        <f t="shared" si="5"/>
        <v>0</v>
      </c>
      <c r="J15" s="9">
        <f t="shared" si="3"/>
        <v>0</v>
      </c>
    </row>
    <row r="16" spans="2:10">
      <c r="B16" s="9">
        <f t="shared" ref="B16:E25" si="7">B43</f>
        <v>2380</v>
      </c>
      <c r="C16" s="9">
        <f t="shared" si="7"/>
        <v>9.4E-2</v>
      </c>
      <c r="D16" s="9">
        <f t="shared" si="7"/>
        <v>0.22912991463389906</v>
      </c>
      <c r="E16" s="9">
        <f t="shared" si="7"/>
        <v>68.738974390169716</v>
      </c>
      <c r="F16" s="9">
        <f t="shared" si="4"/>
        <v>68.738974390169716</v>
      </c>
      <c r="G16" s="9">
        <f t="shared" si="1"/>
        <v>0</v>
      </c>
      <c r="H16" s="9">
        <f t="shared" si="2"/>
        <v>0</v>
      </c>
      <c r="I16" s="9">
        <f t="shared" si="5"/>
        <v>0</v>
      </c>
      <c r="J16" s="9">
        <f t="shared" si="3"/>
        <v>0</v>
      </c>
    </row>
    <row r="17" spans="2:38">
      <c r="B17" s="9">
        <f t="shared" si="7"/>
        <v>1190</v>
      </c>
      <c r="C17" s="9">
        <f t="shared" si="7"/>
        <v>4.7E-2</v>
      </c>
      <c r="D17" s="9">
        <f t="shared" si="7"/>
        <v>0.38445160897864833</v>
      </c>
      <c r="E17" s="9">
        <f t="shared" si="7"/>
        <v>115.3354826935945</v>
      </c>
      <c r="F17" s="9">
        <f t="shared" si="4"/>
        <v>5.7667741346797357</v>
      </c>
      <c r="G17" s="9">
        <f t="shared" si="1"/>
        <v>70.652869106650584</v>
      </c>
      <c r="H17" s="9">
        <f t="shared" si="2"/>
        <v>23.249795635983695</v>
      </c>
      <c r="I17" s="9">
        <f t="shared" si="5"/>
        <v>14.793144370584292</v>
      </c>
      <c r="J17" s="9">
        <f t="shared" si="3"/>
        <v>0</v>
      </c>
    </row>
    <row r="18" spans="2:38">
      <c r="B18" s="9">
        <f t="shared" si="7"/>
        <v>595</v>
      </c>
      <c r="C18" s="9">
        <f t="shared" si="7"/>
        <v>2.3E-2</v>
      </c>
      <c r="D18" s="9">
        <f t="shared" si="7"/>
        <v>0.181073463511568</v>
      </c>
      <c r="E18" s="9">
        <f t="shared" si="7"/>
        <v>54.322039053470398</v>
      </c>
      <c r="F18" s="9">
        <f t="shared" si="4"/>
        <v>2.7161019526735188</v>
      </c>
      <c r="G18" s="9">
        <f t="shared" si="1"/>
        <v>18.9890974411489</v>
      </c>
      <c r="H18" s="9">
        <f t="shared" si="2"/>
        <v>17.481796774554716</v>
      </c>
      <c r="I18" s="9">
        <f t="shared" si="5"/>
        <v>11.770805866537891</v>
      </c>
      <c r="J18" s="9">
        <f t="shared" si="3"/>
        <v>0</v>
      </c>
    </row>
    <row r="19" spans="2:38">
      <c r="B19" s="9">
        <f t="shared" si="7"/>
        <v>297</v>
      </c>
      <c r="C19" s="9">
        <f t="shared" si="7"/>
        <v>1.2E-2</v>
      </c>
      <c r="D19" s="9">
        <f t="shared" si="7"/>
        <v>0.1025407060445688</v>
      </c>
      <c r="E19" s="9">
        <f t="shared" si="7"/>
        <v>30.762211813370641</v>
      </c>
      <c r="F19" s="9">
        <f t="shared" si="4"/>
        <v>0</v>
      </c>
      <c r="G19" s="9">
        <f t="shared" si="1"/>
        <v>0</v>
      </c>
      <c r="H19" s="9">
        <f t="shared" si="2"/>
        <v>11.793600326296577</v>
      </c>
      <c r="I19" s="9">
        <f t="shared" si="5"/>
        <v>11.147106536184788</v>
      </c>
      <c r="J19" s="9">
        <f t="shared" si="3"/>
        <v>0</v>
      </c>
    </row>
    <row r="20" spans="2:38">
      <c r="B20" s="9">
        <f t="shared" si="7"/>
        <v>149</v>
      </c>
      <c r="C20" s="9">
        <f t="shared" si="7"/>
        <v>6.0000000000000001E-3</v>
      </c>
      <c r="D20" s="9">
        <f t="shared" si="7"/>
        <v>7.1537198126406715E-2</v>
      </c>
      <c r="E20" s="9">
        <f t="shared" si="7"/>
        <v>21.461159437922014</v>
      </c>
      <c r="F20" s="9">
        <f t="shared" si="4"/>
        <v>0</v>
      </c>
      <c r="G20" s="9">
        <f t="shared" si="1"/>
        <v>0</v>
      </c>
      <c r="H20" s="9">
        <f t="shared" si="2"/>
        <v>4.2499871991318852</v>
      </c>
      <c r="I20" s="9">
        <f t="shared" si="5"/>
        <v>8.5423273823337826</v>
      </c>
      <c r="J20" s="9">
        <f t="shared" si="3"/>
        <v>0</v>
      </c>
    </row>
    <row r="21" spans="2:38">
      <c r="B21" s="9">
        <f t="shared" si="7"/>
        <v>74</v>
      </c>
      <c r="C21" s="9">
        <f t="shared" si="7"/>
        <v>3.0000000000000001E-3</v>
      </c>
      <c r="D21" s="9">
        <f t="shared" si="7"/>
        <v>2.8022791329561814E-2</v>
      </c>
      <c r="E21" s="9">
        <f t="shared" si="7"/>
        <v>8.4068373988685448</v>
      </c>
      <c r="F21" s="9">
        <f t="shared" si="4"/>
        <v>0</v>
      </c>
      <c r="G21" s="9">
        <f t="shared" si="1"/>
        <v>0</v>
      </c>
      <c r="H21" s="9">
        <f t="shared" si="2"/>
        <v>0</v>
      </c>
      <c r="I21" s="9">
        <f t="shared" si="5"/>
        <v>3.8110624241790036</v>
      </c>
      <c r="J21" s="9">
        <f t="shared" si="3"/>
        <v>0</v>
      </c>
    </row>
    <row r="22" spans="2:38">
      <c r="B22" s="9">
        <f t="shared" si="7"/>
        <v>0</v>
      </c>
      <c r="C22" s="9">
        <f t="shared" si="7"/>
        <v>0</v>
      </c>
      <c r="D22" s="9">
        <f t="shared" si="7"/>
        <v>3.2443173753472433E-3</v>
      </c>
      <c r="E22" s="9">
        <f t="shared" si="7"/>
        <v>0.97329521260417295</v>
      </c>
      <c r="F22" s="9">
        <f t="shared" si="4"/>
        <v>0</v>
      </c>
      <c r="G22" s="9">
        <f t="shared" si="1"/>
        <v>0</v>
      </c>
      <c r="H22" s="9">
        <f t="shared" si="2"/>
        <v>0</v>
      </c>
      <c r="I22" s="9">
        <f t="shared" si="5"/>
        <v>0.36685717195269307</v>
      </c>
      <c r="J22" s="9">
        <f t="shared" si="3"/>
        <v>0</v>
      </c>
    </row>
    <row r="23" spans="2:38">
      <c r="B23" s="9">
        <f t="shared" si="7"/>
        <v>0</v>
      </c>
      <c r="C23" s="9">
        <f t="shared" si="7"/>
        <v>0</v>
      </c>
      <c r="D23" s="9">
        <f t="shared" si="7"/>
        <v>0</v>
      </c>
      <c r="E23" s="9">
        <f t="shared" si="7"/>
        <v>0</v>
      </c>
      <c r="F23" s="9">
        <f t="shared" si="4"/>
        <v>0</v>
      </c>
      <c r="G23" s="9">
        <f t="shared" si="1"/>
        <v>0</v>
      </c>
      <c r="H23" s="9">
        <f t="shared" si="2"/>
        <v>0</v>
      </c>
      <c r="I23" s="9">
        <f t="shared" si="5"/>
        <v>0</v>
      </c>
      <c r="J23" s="9">
        <f t="shared" si="3"/>
        <v>0</v>
      </c>
    </row>
    <row r="24" spans="2:38">
      <c r="B24" s="9">
        <f t="shared" si="7"/>
        <v>0</v>
      </c>
      <c r="C24" s="9">
        <f t="shared" si="7"/>
        <v>0</v>
      </c>
      <c r="D24" s="9">
        <f t="shared" si="7"/>
        <v>0</v>
      </c>
      <c r="E24" s="9">
        <f t="shared" si="7"/>
        <v>0</v>
      </c>
      <c r="F24" s="9">
        <f t="shared" si="4"/>
        <v>0</v>
      </c>
      <c r="G24" s="9">
        <f t="shared" si="1"/>
        <v>0</v>
      </c>
      <c r="H24" s="9">
        <f t="shared" si="2"/>
        <v>0</v>
      </c>
      <c r="I24" s="9">
        <f t="shared" si="5"/>
        <v>0</v>
      </c>
      <c r="J24" s="9">
        <f t="shared" si="3"/>
        <v>0</v>
      </c>
    </row>
    <row r="25" spans="2:38">
      <c r="B25" s="9">
        <f t="shared" si="7"/>
        <v>0</v>
      </c>
      <c r="C25" s="9">
        <f t="shared" si="7"/>
        <v>0</v>
      </c>
      <c r="D25" s="9">
        <f t="shared" si="7"/>
        <v>0</v>
      </c>
      <c r="E25" s="9">
        <f t="shared" si="7"/>
        <v>0</v>
      </c>
      <c r="F25" s="9">
        <f t="shared" si="4"/>
        <v>0</v>
      </c>
      <c r="G25" s="9">
        <f t="shared" si="1"/>
        <v>0</v>
      </c>
      <c r="H25" s="9">
        <f t="shared" si="2"/>
        <v>0</v>
      </c>
      <c r="I25" s="9">
        <f t="shared" si="5"/>
        <v>0</v>
      </c>
      <c r="J25" s="9">
        <f t="shared" si="3"/>
        <v>0</v>
      </c>
    </row>
    <row r="26" spans="2:38">
      <c r="B26" s="9" t="s">
        <v>198</v>
      </c>
      <c r="C26" s="9"/>
      <c r="D26" s="9"/>
      <c r="E26" s="9">
        <f>SUM(E15:E25)</f>
        <v>300</v>
      </c>
      <c r="F26" s="9">
        <f t="shared" si="4"/>
        <v>77.221853477522984</v>
      </c>
      <c r="G26" s="9">
        <f t="shared" si="1"/>
        <v>89.641966547799484</v>
      </c>
      <c r="H26" s="9">
        <f t="shared" si="2"/>
        <v>56.775179935966875</v>
      </c>
      <c r="I26" s="9">
        <f t="shared" si="5"/>
        <v>50.431303751772454</v>
      </c>
      <c r="J26" s="9">
        <f t="shared" si="3"/>
        <v>0</v>
      </c>
    </row>
    <row r="28" spans="2:38">
      <c r="B28" s="262" t="s">
        <v>10</v>
      </c>
      <c r="C28" s="261"/>
      <c r="E28" s="276"/>
      <c r="N28" s="16"/>
      <c r="O28" s="16"/>
      <c r="P28" s="16"/>
      <c r="Q28" s="16"/>
      <c r="R28" s="16"/>
    </row>
    <row r="29" spans="2:38" ht="43.2">
      <c r="E29" s="6" t="s">
        <v>0</v>
      </c>
      <c r="F29" s="6" t="s">
        <v>203</v>
      </c>
      <c r="G29" s="6" t="s">
        <v>202</v>
      </c>
      <c r="H29" s="6" t="s">
        <v>210</v>
      </c>
      <c r="I29" s="6" t="s">
        <v>211</v>
      </c>
      <c r="J29" s="6" t="s">
        <v>204</v>
      </c>
      <c r="K29" s="6" t="s">
        <v>212</v>
      </c>
      <c r="L29" s="6" t="s">
        <v>213</v>
      </c>
      <c r="M29" s="6" t="s">
        <v>214</v>
      </c>
      <c r="N29" s="6" t="s">
        <v>215</v>
      </c>
      <c r="O29" s="6" t="s">
        <v>1</v>
      </c>
      <c r="P29" s="6" t="s">
        <v>216</v>
      </c>
      <c r="Q29" s="6" t="s">
        <v>217</v>
      </c>
      <c r="R29" s="6" t="s">
        <v>218</v>
      </c>
    </row>
    <row r="30" spans="2:38">
      <c r="E30" s="7">
        <v>1</v>
      </c>
      <c r="F30" s="7">
        <v>2</v>
      </c>
      <c r="G30" s="7">
        <v>3</v>
      </c>
      <c r="H30" s="7">
        <v>4</v>
      </c>
      <c r="I30" s="7">
        <v>5</v>
      </c>
      <c r="J30" s="7">
        <v>6</v>
      </c>
      <c r="K30" s="7">
        <v>7</v>
      </c>
      <c r="L30" s="7">
        <v>8</v>
      </c>
      <c r="M30" s="7">
        <v>9</v>
      </c>
      <c r="N30" s="7">
        <v>10</v>
      </c>
      <c r="O30" s="7">
        <v>11</v>
      </c>
      <c r="P30" s="7">
        <v>12</v>
      </c>
      <c r="Q30" s="7">
        <v>13</v>
      </c>
      <c r="R30" s="7">
        <v>14</v>
      </c>
      <c r="AA30" s="4"/>
      <c r="AB30" s="4"/>
      <c r="AG30" s="4"/>
      <c r="AH30" s="4"/>
      <c r="AL30" s="4"/>
    </row>
    <row r="31" spans="2:38">
      <c r="B31" s="259" t="s">
        <v>2</v>
      </c>
      <c r="C31" s="260"/>
      <c r="D31" s="260"/>
      <c r="E31" s="8">
        <v>2.7</v>
      </c>
      <c r="F31" s="9"/>
      <c r="G31" s="9">
        <f>E31</f>
        <v>2.7</v>
      </c>
      <c r="H31" s="9">
        <f>E31</f>
        <v>2.7</v>
      </c>
      <c r="I31" s="9">
        <f>E31</f>
        <v>2.7</v>
      </c>
      <c r="J31" s="9"/>
      <c r="K31" s="9">
        <f>$E31</f>
        <v>2.7</v>
      </c>
      <c r="L31" s="9">
        <f>$E31</f>
        <v>2.7</v>
      </c>
      <c r="M31" s="9">
        <f>$E31</f>
        <v>2.7</v>
      </c>
      <c r="N31" s="10"/>
      <c r="O31" s="10"/>
      <c r="P31" s="9">
        <f>$E31</f>
        <v>2.7</v>
      </c>
      <c r="Q31" s="9">
        <f>$E31</f>
        <v>2.7</v>
      </c>
      <c r="R31" s="9">
        <f>$E31</f>
        <v>2.7</v>
      </c>
      <c r="AA31" s="4"/>
      <c r="AB31" s="4"/>
      <c r="AG31" s="4"/>
      <c r="AH31" s="4"/>
      <c r="AL31" s="4"/>
    </row>
    <row r="32" spans="2:38">
      <c r="B32" s="259" t="s">
        <v>205</v>
      </c>
      <c r="C32" s="260"/>
      <c r="D32" s="260"/>
      <c r="E32" s="8">
        <f>E31/0.01601668</f>
        <v>168.57426133256084</v>
      </c>
      <c r="F32" s="9"/>
      <c r="G32" s="9">
        <f>E32</f>
        <v>168.57426133256084</v>
      </c>
      <c r="H32" s="9">
        <f>E32</f>
        <v>168.57426133256084</v>
      </c>
      <c r="I32" s="9"/>
      <c r="J32" s="9"/>
      <c r="K32" s="9">
        <f>E32</f>
        <v>168.57426133256084</v>
      </c>
      <c r="L32" s="9"/>
      <c r="M32" s="9"/>
      <c r="N32" s="10"/>
      <c r="O32" s="10"/>
      <c r="P32" s="9">
        <f>E32</f>
        <v>168.57426133256084</v>
      </c>
      <c r="Q32" s="9"/>
      <c r="R32" s="9"/>
      <c r="AA32" s="4"/>
      <c r="AB32" s="4"/>
      <c r="AG32" s="4"/>
      <c r="AH32" s="4"/>
      <c r="AL32" s="4"/>
    </row>
    <row r="33" spans="2:38">
      <c r="B33" s="259" t="s">
        <v>3</v>
      </c>
      <c r="C33" s="260"/>
      <c r="D33" s="260"/>
      <c r="E33" s="11">
        <v>300</v>
      </c>
      <c r="F33" s="12"/>
      <c r="G33" s="12">
        <f>E33+F33</f>
        <v>300</v>
      </c>
      <c r="H33" s="256">
        <f>H53</f>
        <v>77.221853477522984</v>
      </c>
      <c r="I33" s="12">
        <f>E33-H33</f>
        <v>222.77814652247702</v>
      </c>
      <c r="J33" s="12"/>
      <c r="K33" s="256">
        <f>I33</f>
        <v>222.77814652247702</v>
      </c>
      <c r="L33" s="12">
        <f>K33-M33</f>
        <v>53.602317707680101</v>
      </c>
      <c r="M33" s="256">
        <f>M53</f>
        <v>169.17582881479692</v>
      </c>
      <c r="N33" s="10"/>
      <c r="O33" s="10"/>
      <c r="P33" s="256">
        <f>M33+N33+O33</f>
        <v>169.17582881479692</v>
      </c>
      <c r="Q33" s="256">
        <f>Q53</f>
        <v>89.641966547799484</v>
      </c>
      <c r="R33" s="12">
        <f>M33-Q33</f>
        <v>79.533862266997431</v>
      </c>
      <c r="Y33" s="3"/>
      <c r="Z33" s="3"/>
      <c r="AE33" s="3"/>
      <c r="AF33" s="3"/>
      <c r="AK33" s="5"/>
    </row>
    <row r="34" spans="2:38">
      <c r="B34" s="259" t="s">
        <v>4</v>
      </c>
      <c r="C34" s="260"/>
      <c r="D34" s="260"/>
      <c r="E34" s="13">
        <v>1</v>
      </c>
      <c r="F34" s="14"/>
      <c r="G34" s="14">
        <f>G33/G35</f>
        <v>0.44444444444444442</v>
      </c>
      <c r="H34" s="13">
        <v>0.94</v>
      </c>
      <c r="I34" s="14">
        <f>I33/I35</f>
        <v>0.37577547053997407</v>
      </c>
      <c r="J34" s="14"/>
      <c r="K34" s="14">
        <f>K33/K35</f>
        <v>0.24364670830937624</v>
      </c>
      <c r="L34" s="14">
        <f t="shared" ref="L34" si="8">L33/L35</f>
        <v>8.8342361652176973E-2</v>
      </c>
      <c r="M34" s="98">
        <v>0.55000000000000004</v>
      </c>
      <c r="N34" s="10"/>
      <c r="O34" s="10"/>
      <c r="P34" s="14">
        <f t="shared" ref="P34" si="9">P33/P35</f>
        <v>0.27526507715219084</v>
      </c>
      <c r="Q34" s="242">
        <v>0.71499999999999997</v>
      </c>
      <c r="R34" s="14">
        <f>R33/R35</f>
        <v>0.16257311424001306</v>
      </c>
      <c r="Y34" s="3"/>
      <c r="Z34" s="3"/>
      <c r="AE34" s="3"/>
      <c r="AF34" s="3"/>
      <c r="AK34" s="5"/>
    </row>
    <row r="35" spans="2:38">
      <c r="B35" s="259" t="s">
        <v>5</v>
      </c>
      <c r="C35" s="260"/>
      <c r="D35" s="260"/>
      <c r="E35" s="12">
        <f>(4*E33+E39)/4</f>
        <v>300</v>
      </c>
      <c r="F35" s="12"/>
      <c r="G35" s="12">
        <f>(4*G33+G39)/4</f>
        <v>675</v>
      </c>
      <c r="H35" s="12">
        <f>(4*H33+H39)/4</f>
        <v>82.150907954811686</v>
      </c>
      <c r="I35" s="12">
        <f>(4*I33+I39)/4</f>
        <v>592.84909204518829</v>
      </c>
      <c r="J35" s="12"/>
      <c r="K35" s="12">
        <f>(4*K33+K39)/4</f>
        <v>914.3490920451884</v>
      </c>
      <c r="L35" s="12">
        <f t="shared" ref="L35" si="10">(4*L33+L39)/4</f>
        <v>606.75667601828491</v>
      </c>
      <c r="M35" s="12">
        <f>M33/M34</f>
        <v>307.59241602690344</v>
      </c>
      <c r="N35" s="10"/>
      <c r="O35" s="10"/>
      <c r="P35" s="12">
        <f t="shared" ref="P35" si="11">(4*P33+P39)/4</f>
        <v>614.59241602690338</v>
      </c>
      <c r="Q35" s="12">
        <f>Q33/Q34</f>
        <v>125.37337978713215</v>
      </c>
      <c r="R35" s="12">
        <f>(4*R33+R39)/4</f>
        <v>489.2190362397713</v>
      </c>
      <c r="AA35" s="1"/>
      <c r="AB35" s="1"/>
      <c r="AC35" s="1"/>
      <c r="AD35" s="1"/>
      <c r="AG35" s="1"/>
      <c r="AH35" s="1"/>
      <c r="AI35" s="1"/>
      <c r="AJ35" s="1"/>
      <c r="AL35" s="1"/>
    </row>
    <row r="36" spans="2:38">
      <c r="B36" s="259" t="s">
        <v>6</v>
      </c>
      <c r="C36" s="260"/>
      <c r="D36" s="260"/>
      <c r="E36" s="9">
        <f>(E31)/(E31+E34-E31*E34)</f>
        <v>2.7</v>
      </c>
      <c r="F36" s="15"/>
      <c r="G36" s="9">
        <f>(G31)/(G31+G34-G31*G34)</f>
        <v>1.3885714285714283</v>
      </c>
      <c r="H36" s="9">
        <f>(H31)/(H31+H34-H31*H34)</f>
        <v>2.4500907441016331</v>
      </c>
      <c r="I36" s="9">
        <f>(I31)/(I31+I34-I31*I34)</f>
        <v>1.3099281833777818</v>
      </c>
      <c r="J36" s="10"/>
      <c r="K36" s="9">
        <f>(K31)/(K31+K34-K31*K34)</f>
        <v>1.1812053968633933</v>
      </c>
      <c r="L36" s="9">
        <f t="shared" ref="L36" si="12">(L31)/(L31+L34-L31*L34)</f>
        <v>1.0588991118899154</v>
      </c>
      <c r="M36" s="9">
        <f>(M31)/(M31+M34-M31*M34)</f>
        <v>1.5297450424929182</v>
      </c>
      <c r="N36" s="10"/>
      <c r="O36" s="10"/>
      <c r="P36" s="9">
        <f t="shared" ref="P36" si="13">(P31)/(P31+P34-P31*P34)</f>
        <v>1.2096506635073452</v>
      </c>
      <c r="Q36" s="9">
        <f>(Q31)/(Q31+Q34-Q31*Q34)</f>
        <v>1.8187942068036378</v>
      </c>
      <c r="R36" s="9">
        <f>(R31)/(R31+R34-R31*R34)</f>
        <v>1.1140334060443173</v>
      </c>
    </row>
    <row r="37" spans="2:38">
      <c r="B37" s="259" t="s">
        <v>7</v>
      </c>
      <c r="C37" s="260"/>
      <c r="D37" s="260"/>
      <c r="E37" s="14">
        <f>(E36-1)/(E31-1)</f>
        <v>1</v>
      </c>
      <c r="F37" s="15"/>
      <c r="G37" s="14">
        <f>(G36-1)/(G31-1)</f>
        <v>0.22857142857142843</v>
      </c>
      <c r="H37" s="14">
        <f>(H36-1)/(H31-1)</f>
        <v>0.85299455535390167</v>
      </c>
      <c r="I37" s="14">
        <f>(I36-1)/(I31-1)</f>
        <v>0.18231069610457754</v>
      </c>
      <c r="J37" s="10"/>
      <c r="K37" s="14">
        <f>(K36-1)/(K31-1)</f>
        <v>0.10659140991964312</v>
      </c>
      <c r="L37" s="14">
        <f t="shared" ref="L37" si="14">(L36-1)/(L31-1)</f>
        <v>3.4646536405832568E-2</v>
      </c>
      <c r="M37" s="14">
        <f>(M36-1)/(M31-1)</f>
        <v>0.31161473087818714</v>
      </c>
      <c r="N37" s="10"/>
      <c r="O37" s="10"/>
      <c r="P37" s="14">
        <f t="shared" ref="P37" si="15">(P36-1)/(P31-1)</f>
        <v>0.12332391971020304</v>
      </c>
      <c r="Q37" s="14">
        <f>(Q36-1)/(Q31-1)</f>
        <v>0.48164365106096335</v>
      </c>
      <c r="R37" s="14">
        <f>(R36-1)/(R31-1)</f>
        <v>6.7078474143716066E-2</v>
      </c>
    </row>
    <row r="38" spans="2:38">
      <c r="B38" s="259" t="s">
        <v>8</v>
      </c>
      <c r="C38" s="260"/>
      <c r="D38" s="260"/>
      <c r="E38" s="12">
        <f>(E39*E31+4*E33)/E31</f>
        <v>444.4444444444444</v>
      </c>
      <c r="F38" s="12"/>
      <c r="G38" s="12">
        <f>(G39*G31+4*G33)/G31</f>
        <v>1944.4444444444443</v>
      </c>
      <c r="H38" s="12">
        <f>(H39*H31+4*H33)/H31</f>
        <v>134.11896380178146</v>
      </c>
      <c r="I38" s="12">
        <f>(I39*I31+4*I33)/I31</f>
        <v>1810.325480642663</v>
      </c>
      <c r="J38" s="12"/>
      <c r="K38" s="12">
        <f>(K39*K31+4*K33)/K31</f>
        <v>3096.325480642663</v>
      </c>
      <c r="L38" s="12">
        <f t="shared" ref="L38" si="16">(L39*L31+4*L33)/L31</f>
        <v>2292.0282742908344</v>
      </c>
      <c r="M38" s="12">
        <f>(M39*M31+4*M33)/M31</f>
        <v>804.297206351829</v>
      </c>
      <c r="N38" s="12"/>
      <c r="O38" s="12"/>
      <c r="P38" s="12">
        <f t="shared" ref="P38" si="17">(P39*P31+4*P33)/P31</f>
        <v>2032.2972063518287</v>
      </c>
      <c r="Q38" s="12">
        <f>4*Q35/Q36</f>
        <v>275.72856636147799</v>
      </c>
      <c r="R38" s="12">
        <f>(R39*R31+4*R33)/R31</f>
        <v>1756.5686399903507</v>
      </c>
    </row>
    <row r="39" spans="2:38">
      <c r="B39" s="259" t="s">
        <v>9</v>
      </c>
      <c r="C39" s="260"/>
      <c r="D39" s="260"/>
      <c r="E39" s="12">
        <f>(4*E33*(1-E34))/E34</f>
        <v>0</v>
      </c>
      <c r="F39" s="11">
        <v>1500</v>
      </c>
      <c r="G39" s="9">
        <f>E39+F39</f>
        <v>1500</v>
      </c>
      <c r="H39" s="12">
        <f>(4*H33*(1-H34))/H34</f>
        <v>19.716217909154825</v>
      </c>
      <c r="I39" s="12">
        <f>F39-H39</f>
        <v>1480.2837820908451</v>
      </c>
      <c r="J39" s="11">
        <v>1286</v>
      </c>
      <c r="K39" s="12">
        <f>I39+J39</f>
        <v>2766.2837820908453</v>
      </c>
      <c r="L39" s="12">
        <f>K39-M39</f>
        <v>2212.6174332424193</v>
      </c>
      <c r="M39" s="12">
        <f>4*(M35-M33)</f>
        <v>553.66634884842608</v>
      </c>
      <c r="N39" s="11">
        <v>1223</v>
      </c>
      <c r="O39" s="11">
        <v>5</v>
      </c>
      <c r="P39" s="12">
        <f>M39+N39+O39</f>
        <v>1781.666348848426</v>
      </c>
      <c r="Q39" s="12">
        <f>4*(Q35-Q33)</f>
        <v>142.92565295733067</v>
      </c>
      <c r="R39" s="12">
        <f>P39-Q39</f>
        <v>1638.7406958910954</v>
      </c>
    </row>
    <row r="40" spans="2:38">
      <c r="B40" s="209" t="s">
        <v>35</v>
      </c>
      <c r="C40" s="209" t="s">
        <v>35</v>
      </c>
      <c r="D40" s="209" t="s">
        <v>201</v>
      </c>
      <c r="E40" s="218"/>
      <c r="F40" s="219"/>
      <c r="G40" s="220"/>
      <c r="H40" s="220"/>
      <c r="I40" s="220"/>
      <c r="J40" s="16"/>
      <c r="K40" s="220"/>
      <c r="M40" s="16"/>
      <c r="N40" s="16"/>
      <c r="O40" s="16"/>
      <c r="P40" s="16"/>
      <c r="Q40" s="16"/>
      <c r="R40" s="16"/>
    </row>
    <row r="41" spans="2:38" ht="15" thickBot="1">
      <c r="B41" s="264" t="s">
        <v>39</v>
      </c>
      <c r="C41" s="264" t="s">
        <v>159</v>
      </c>
      <c r="D41" s="264" t="s">
        <v>156</v>
      </c>
      <c r="E41" s="265" t="s">
        <v>57</v>
      </c>
      <c r="F41" s="219"/>
      <c r="G41" s="221" t="s">
        <v>57</v>
      </c>
      <c r="H41" s="221" t="s">
        <v>57</v>
      </c>
      <c r="I41" s="221" t="s">
        <v>57</v>
      </c>
      <c r="J41" s="16"/>
      <c r="K41" s="221" t="s">
        <v>57</v>
      </c>
      <c r="L41" s="221" t="s">
        <v>57</v>
      </c>
      <c r="M41" s="221" t="s">
        <v>57</v>
      </c>
      <c r="P41" s="221" t="s">
        <v>57</v>
      </c>
      <c r="Q41" s="221" t="s">
        <v>57</v>
      </c>
      <c r="R41" s="221" t="s">
        <v>57</v>
      </c>
    </row>
    <row r="42" spans="2:38" ht="15" thickTop="1">
      <c r="B42" s="266">
        <v>4760</v>
      </c>
      <c r="C42" s="267">
        <v>0.187</v>
      </c>
      <c r="D42" s="279">
        <v>0</v>
      </c>
      <c r="E42" s="274">
        <f>D42*E$33</f>
        <v>0</v>
      </c>
      <c r="F42" s="219"/>
      <c r="G42" s="222">
        <f t="shared" ref="G42:G52" si="18">E42</f>
        <v>0</v>
      </c>
      <c r="H42" s="222">
        <f>'Sizing Screen'!D53</f>
        <v>3.0000000000000001E-6</v>
      </c>
      <c r="I42" s="222">
        <f>'Sizing Screen'!E53</f>
        <v>0</v>
      </c>
      <c r="J42" s="16"/>
      <c r="K42" s="222">
        <f>I42</f>
        <v>0</v>
      </c>
      <c r="L42" s="222">
        <f t="shared" ref="L42:L52" si="19">K42-M42</f>
        <v>0</v>
      </c>
      <c r="M42" s="222">
        <f>'1st Stg Cyclone'!L39</f>
        <v>0</v>
      </c>
      <c r="N42" s="16"/>
      <c r="O42" s="16"/>
      <c r="P42" s="222">
        <f t="shared" ref="P42:P52" si="20">M42</f>
        <v>0</v>
      </c>
      <c r="Q42" s="222">
        <f>'1st Stg Teeter'!K5</f>
        <v>0</v>
      </c>
      <c r="R42" s="222">
        <f>P42-Q42</f>
        <v>0</v>
      </c>
    </row>
    <row r="43" spans="2:38">
      <c r="B43" s="263">
        <v>2380</v>
      </c>
      <c r="C43" s="268">
        <v>9.4E-2</v>
      </c>
      <c r="D43" s="280">
        <v>0.22912991463389906</v>
      </c>
      <c r="E43" s="273">
        <f t="shared" ref="E43:E52" si="21">D43*E$33</f>
        <v>68.738974390169716</v>
      </c>
      <c r="F43" s="219"/>
      <c r="G43" s="222">
        <f t="shared" si="18"/>
        <v>68.738974390169716</v>
      </c>
      <c r="H43" s="222">
        <f>'Sizing Screen'!D54</f>
        <v>68.738974390169716</v>
      </c>
      <c r="I43" s="222">
        <f>'Sizing Screen'!E54</f>
        <v>0</v>
      </c>
      <c r="J43" s="16"/>
      <c r="K43" s="222">
        <f t="shared" ref="K43:K52" si="22">I43</f>
        <v>0</v>
      </c>
      <c r="L43" s="222">
        <f t="shared" si="19"/>
        <v>0</v>
      </c>
      <c r="M43" s="222">
        <f>'1st Stg Cyclone'!L40</f>
        <v>0</v>
      </c>
      <c r="N43" s="16"/>
      <c r="O43" s="16"/>
      <c r="P43" s="222">
        <f t="shared" si="20"/>
        <v>0</v>
      </c>
      <c r="Q43" s="222">
        <f>'1st Stg Teeter'!K6</f>
        <v>0</v>
      </c>
      <c r="R43" s="222">
        <f t="shared" ref="R43:R52" si="23">P43-Q43</f>
        <v>0</v>
      </c>
    </row>
    <row r="44" spans="2:38">
      <c r="B44" s="263">
        <v>1190</v>
      </c>
      <c r="C44" s="268">
        <v>4.7E-2</v>
      </c>
      <c r="D44" s="280">
        <v>0.38445160897864833</v>
      </c>
      <c r="E44" s="273">
        <f t="shared" si="21"/>
        <v>115.3354826935945</v>
      </c>
      <c r="F44" s="219"/>
      <c r="G44" s="222">
        <f t="shared" si="18"/>
        <v>115.3354826935945</v>
      </c>
      <c r="H44" s="222">
        <f>'Sizing Screen'!D55</f>
        <v>5.7667741346797357</v>
      </c>
      <c r="I44" s="222">
        <f>'Sizing Screen'!E55</f>
        <v>109.56870855891476</v>
      </c>
      <c r="J44" s="16"/>
      <c r="K44" s="222">
        <f t="shared" si="22"/>
        <v>109.56870855891476</v>
      </c>
      <c r="L44" s="222">
        <f t="shared" si="19"/>
        <v>15.364883083380647</v>
      </c>
      <c r="M44" s="222">
        <f>'1st Stg Cyclone'!L41</f>
        <v>94.203825475534117</v>
      </c>
      <c r="N44" s="16"/>
      <c r="O44" s="16"/>
      <c r="P44" s="222">
        <f t="shared" si="20"/>
        <v>94.203825475534117</v>
      </c>
      <c r="Q44" s="222">
        <f>'1st Stg Teeter'!K7</f>
        <v>70.652869106650584</v>
      </c>
      <c r="R44" s="222">
        <f t="shared" si="23"/>
        <v>23.550956368883533</v>
      </c>
    </row>
    <row r="45" spans="2:38">
      <c r="B45" s="263">
        <v>595</v>
      </c>
      <c r="C45" s="268">
        <v>2.3E-2</v>
      </c>
      <c r="D45" s="280">
        <v>0.181073463511568</v>
      </c>
      <c r="E45" s="273">
        <f t="shared" si="21"/>
        <v>54.322039053470398</v>
      </c>
      <c r="F45" s="219"/>
      <c r="G45" s="222">
        <f t="shared" si="18"/>
        <v>54.322039053470398</v>
      </c>
      <c r="H45" s="222">
        <f>'Sizing Screen'!D56</f>
        <v>2.7161019526735188</v>
      </c>
      <c r="I45" s="222">
        <f>'Sizing Screen'!E56</f>
        <v>51.605937100796879</v>
      </c>
      <c r="J45" s="16"/>
      <c r="K45" s="222">
        <f t="shared" si="22"/>
        <v>51.605937100796879</v>
      </c>
      <c r="L45" s="222">
        <f t="shared" si="19"/>
        <v>13.62774221849908</v>
      </c>
      <c r="M45" s="222">
        <f>'1st Stg Cyclone'!L42</f>
        <v>37.978194882297799</v>
      </c>
      <c r="N45" s="16"/>
      <c r="O45" s="16"/>
      <c r="P45" s="222">
        <f t="shared" si="20"/>
        <v>37.978194882297799</v>
      </c>
      <c r="Q45" s="222">
        <f>'1st Stg Teeter'!K8</f>
        <v>18.9890974411489</v>
      </c>
      <c r="R45" s="222">
        <f t="shared" si="23"/>
        <v>18.9890974411489</v>
      </c>
    </row>
    <row r="46" spans="2:38">
      <c r="B46" s="263">
        <v>297</v>
      </c>
      <c r="C46" s="268">
        <v>1.2E-2</v>
      </c>
      <c r="D46" s="280">
        <v>0.1025407060445688</v>
      </c>
      <c r="E46" s="273">
        <f t="shared" si="21"/>
        <v>30.762211813370641</v>
      </c>
      <c r="F46" s="219"/>
      <c r="G46" s="222">
        <f t="shared" si="18"/>
        <v>30.762211813370641</v>
      </c>
      <c r="H46" s="222">
        <f>'Sizing Screen'!D57</f>
        <v>0</v>
      </c>
      <c r="I46" s="222">
        <f>'Sizing Screen'!E57</f>
        <v>30.762211813370644</v>
      </c>
      <c r="J46" s="16"/>
      <c r="K46" s="222">
        <f t="shared" si="22"/>
        <v>30.762211813370644</v>
      </c>
      <c r="L46" s="222">
        <f t="shared" si="19"/>
        <v>11.153561191103769</v>
      </c>
      <c r="M46" s="222">
        <f>'1st Stg Cyclone'!L43</f>
        <v>19.608650622266875</v>
      </c>
      <c r="N46" s="16"/>
      <c r="O46" s="16"/>
      <c r="P46" s="222">
        <f t="shared" si="20"/>
        <v>19.608650622266875</v>
      </c>
      <c r="Q46" s="222">
        <f>'1st Stg Teeter'!K9</f>
        <v>0</v>
      </c>
      <c r="R46" s="222">
        <f t="shared" si="23"/>
        <v>19.608650622266875</v>
      </c>
    </row>
    <row r="47" spans="2:38">
      <c r="B47" s="263">
        <v>149</v>
      </c>
      <c r="C47" s="268">
        <v>6.0000000000000001E-3</v>
      </c>
      <c r="D47" s="280">
        <v>7.1537198126406715E-2</v>
      </c>
      <c r="E47" s="273">
        <f t="shared" si="21"/>
        <v>21.461159437922014</v>
      </c>
      <c r="F47" s="219"/>
      <c r="G47" s="222">
        <f t="shared" si="18"/>
        <v>21.461159437922014</v>
      </c>
      <c r="H47" s="222">
        <f>'Sizing Screen'!D58</f>
        <v>0</v>
      </c>
      <c r="I47" s="222">
        <f>'Sizing Screen'!E58</f>
        <v>21.461159437922014</v>
      </c>
      <c r="J47" s="16"/>
      <c r="K47" s="222">
        <f t="shared" si="22"/>
        <v>21.461159437922014</v>
      </c>
      <c r="L47" s="222">
        <f t="shared" si="19"/>
        <v>9.1080009826361188</v>
      </c>
      <c r="M47" s="222">
        <f>'1st Stg Cyclone'!L44</f>
        <v>12.353158455285895</v>
      </c>
      <c r="N47" s="16"/>
      <c r="O47" s="16"/>
      <c r="P47" s="222">
        <f t="shared" si="20"/>
        <v>12.353158455285895</v>
      </c>
      <c r="Q47" s="222">
        <f>'1st Stg Teeter'!K10</f>
        <v>0</v>
      </c>
      <c r="R47" s="222">
        <f t="shared" si="23"/>
        <v>12.353158455285895</v>
      </c>
    </row>
    <row r="48" spans="2:38">
      <c r="B48" s="263">
        <v>74</v>
      </c>
      <c r="C48" s="268">
        <v>3.0000000000000001E-3</v>
      </c>
      <c r="D48" s="280">
        <v>2.8022791329561814E-2</v>
      </c>
      <c r="E48" s="273">
        <f t="shared" si="21"/>
        <v>8.4068373988685448</v>
      </c>
      <c r="F48" s="219"/>
      <c r="G48" s="222">
        <f t="shared" si="18"/>
        <v>8.4068373988685448</v>
      </c>
      <c r="H48" s="222">
        <f>'Sizing Screen'!D59</f>
        <v>0</v>
      </c>
      <c r="I48" s="222">
        <f>'Sizing Screen'!E59</f>
        <v>8.4068373988685448</v>
      </c>
      <c r="J48" s="16"/>
      <c r="K48" s="222">
        <f t="shared" si="22"/>
        <v>8.4068373988685448</v>
      </c>
      <c r="L48" s="222">
        <f t="shared" si="19"/>
        <v>3.8641276700135609</v>
      </c>
      <c r="M48" s="222">
        <f>'1st Stg Cyclone'!L45</f>
        <v>4.5427097288549838</v>
      </c>
      <c r="N48" s="16"/>
      <c r="O48" s="16"/>
      <c r="P48" s="222">
        <f t="shared" si="20"/>
        <v>4.5427097288549838</v>
      </c>
      <c r="Q48" s="222">
        <f>'1st Stg Teeter'!K11</f>
        <v>0</v>
      </c>
      <c r="R48" s="222">
        <f t="shared" si="23"/>
        <v>4.5427097288549838</v>
      </c>
    </row>
    <row r="49" spans="2:27">
      <c r="B49" s="210"/>
      <c r="C49" s="269"/>
      <c r="D49" s="280">
        <v>3.2443173753472433E-3</v>
      </c>
      <c r="E49" s="273">
        <f t="shared" si="21"/>
        <v>0.97329521260417295</v>
      </c>
      <c r="F49" s="219"/>
      <c r="G49" s="222">
        <f t="shared" si="18"/>
        <v>0.97329521260417295</v>
      </c>
      <c r="H49" s="222">
        <f>'Sizing Screen'!D60</f>
        <v>0</v>
      </c>
      <c r="I49" s="222">
        <f>'Sizing Screen'!E60</f>
        <v>0.97329521260417295</v>
      </c>
      <c r="J49" s="16"/>
      <c r="K49" s="222">
        <f t="shared" si="22"/>
        <v>0.97329521260417295</v>
      </c>
      <c r="L49" s="222">
        <f t="shared" si="19"/>
        <v>0.4840055620469253</v>
      </c>
      <c r="M49" s="222">
        <f>'1st Stg Cyclone'!L46</f>
        <v>0.48928965055724766</v>
      </c>
      <c r="N49" s="16"/>
      <c r="O49" s="16"/>
      <c r="P49" s="222">
        <f t="shared" si="20"/>
        <v>0.48928965055724766</v>
      </c>
      <c r="Q49" s="222">
        <f>'1st Stg Teeter'!K12</f>
        <v>0</v>
      </c>
      <c r="R49" s="222">
        <f t="shared" si="23"/>
        <v>0.48928965055724766</v>
      </c>
    </row>
    <row r="50" spans="2:27">
      <c r="B50" s="211"/>
      <c r="C50" s="270"/>
      <c r="D50" s="280">
        <v>0</v>
      </c>
      <c r="E50" s="273">
        <f t="shared" si="21"/>
        <v>0</v>
      </c>
      <c r="F50" s="219"/>
      <c r="G50" s="222">
        <f t="shared" si="18"/>
        <v>0</v>
      </c>
      <c r="H50" s="222">
        <f>'Sizing Screen'!D61</f>
        <v>0</v>
      </c>
      <c r="I50" s="222">
        <f>'Sizing Screen'!E61</f>
        <v>0</v>
      </c>
      <c r="J50" s="16"/>
      <c r="K50" s="222">
        <f t="shared" si="22"/>
        <v>0</v>
      </c>
      <c r="L50" s="222">
        <f t="shared" si="19"/>
        <v>0</v>
      </c>
      <c r="M50" s="222">
        <f>'1st Stg Cyclone'!L47</f>
        <v>0</v>
      </c>
      <c r="N50" s="16"/>
      <c r="O50" s="16"/>
      <c r="P50" s="222">
        <f t="shared" si="20"/>
        <v>0</v>
      </c>
      <c r="Q50" s="222">
        <f>'1st Stg Teeter'!K13</f>
        <v>0</v>
      </c>
      <c r="R50" s="222">
        <f t="shared" si="23"/>
        <v>0</v>
      </c>
    </row>
    <row r="51" spans="2:27">
      <c r="B51" s="211"/>
      <c r="C51" s="270"/>
      <c r="D51" s="280">
        <v>0</v>
      </c>
      <c r="E51" s="273">
        <f t="shared" si="21"/>
        <v>0</v>
      </c>
      <c r="F51" s="219"/>
      <c r="G51" s="222">
        <f t="shared" si="18"/>
        <v>0</v>
      </c>
      <c r="H51" s="222">
        <f>'Sizing Screen'!D62</f>
        <v>0</v>
      </c>
      <c r="I51" s="222">
        <f>'Sizing Screen'!E62</f>
        <v>0</v>
      </c>
      <c r="J51" s="16"/>
      <c r="K51" s="222">
        <f t="shared" si="22"/>
        <v>0</v>
      </c>
      <c r="L51" s="222">
        <f t="shared" si="19"/>
        <v>0</v>
      </c>
      <c r="M51" s="222">
        <f>'1st Stg Cyclone'!L48</f>
        <v>0</v>
      </c>
      <c r="N51" s="16"/>
      <c r="O51" s="16"/>
      <c r="P51" s="222">
        <f t="shared" si="20"/>
        <v>0</v>
      </c>
      <c r="Q51" s="222">
        <f>'1st Stg Teeter'!K14</f>
        <v>0</v>
      </c>
      <c r="R51" s="222">
        <f t="shared" si="23"/>
        <v>0</v>
      </c>
    </row>
    <row r="52" spans="2:27" ht="15" thickBot="1">
      <c r="B52" s="210"/>
      <c r="C52" s="269"/>
      <c r="D52" s="280">
        <v>0</v>
      </c>
      <c r="E52" s="273">
        <f t="shared" si="21"/>
        <v>0</v>
      </c>
      <c r="F52" s="219"/>
      <c r="G52" s="222">
        <f t="shared" si="18"/>
        <v>0</v>
      </c>
      <c r="H52" s="222">
        <f>'Sizing Screen'!D63</f>
        <v>0</v>
      </c>
      <c r="I52" s="222">
        <f>'Sizing Screen'!E63</f>
        <v>0</v>
      </c>
      <c r="J52" s="16"/>
      <c r="K52" s="222">
        <f t="shared" si="22"/>
        <v>0</v>
      </c>
      <c r="L52" s="222">
        <f t="shared" si="19"/>
        <v>0</v>
      </c>
      <c r="M52" s="222">
        <f>'1st Stg Cyclone'!L49</f>
        <v>0</v>
      </c>
      <c r="N52" s="16"/>
      <c r="O52" s="16"/>
      <c r="P52" s="222">
        <f t="shared" si="20"/>
        <v>0</v>
      </c>
      <c r="Q52" s="222">
        <f>'1st Stg Teeter'!K15</f>
        <v>0</v>
      </c>
      <c r="R52" s="222">
        <f t="shared" si="23"/>
        <v>0</v>
      </c>
    </row>
    <row r="53" spans="2:27" ht="15" thickBot="1">
      <c r="B53" s="243" t="s">
        <v>198</v>
      </c>
      <c r="C53" s="271"/>
      <c r="D53" s="271"/>
      <c r="E53" s="271">
        <f>SUM(E42:E52)</f>
        <v>300</v>
      </c>
      <c r="F53" s="219"/>
      <c r="G53" s="257">
        <f>SUM(G41:G52)</f>
        <v>300</v>
      </c>
      <c r="H53" s="257">
        <f>SUM(H41:H52)</f>
        <v>77.221853477522984</v>
      </c>
      <c r="I53" s="257">
        <f>SUM(I41:I52)</f>
        <v>222.77814952247701</v>
      </c>
      <c r="J53" s="16"/>
      <c r="K53" s="257">
        <f>SUM(K41:K52)</f>
        <v>222.77814952247701</v>
      </c>
      <c r="L53" s="257">
        <f>SUM(L41:L52)</f>
        <v>53.6023207076801</v>
      </c>
      <c r="M53" s="257">
        <f>SUM(M41:M52)</f>
        <v>169.17582881479692</v>
      </c>
      <c r="N53" s="16"/>
      <c r="O53" s="16"/>
      <c r="P53" s="257">
        <f>SUM(P41:P52)</f>
        <v>169.17582881479692</v>
      </c>
      <c r="Q53" s="257">
        <f>SUM(Q41:Q52)</f>
        <v>89.641966547799484</v>
      </c>
      <c r="R53" s="257">
        <f>SUM(R41:R52)</f>
        <v>79.533862266997446</v>
      </c>
    </row>
    <row r="54" spans="2:27" ht="15" thickTop="1">
      <c r="B54" s="16"/>
      <c r="C54" s="16"/>
      <c r="I54" s="16"/>
      <c r="J54" s="16"/>
      <c r="K54" s="16"/>
      <c r="L54" s="16"/>
      <c r="M54" s="16"/>
      <c r="S54" s="16"/>
    </row>
    <row r="55" spans="2:27" ht="43.2">
      <c r="D55" s="6" t="s">
        <v>212</v>
      </c>
      <c r="E55" s="6" t="s">
        <v>213</v>
      </c>
      <c r="F55" s="6" t="s">
        <v>214</v>
      </c>
      <c r="G55" s="6" t="s">
        <v>215</v>
      </c>
      <c r="H55" s="6" t="s">
        <v>1</v>
      </c>
      <c r="I55" s="6" t="s">
        <v>216</v>
      </c>
      <c r="J55" s="6" t="s">
        <v>217</v>
      </c>
      <c r="K55" s="6" t="s">
        <v>218</v>
      </c>
      <c r="L55" s="6" t="s">
        <v>212</v>
      </c>
      <c r="M55" s="6" t="s">
        <v>213</v>
      </c>
      <c r="N55" s="6" t="s">
        <v>214</v>
      </c>
      <c r="O55" s="17" t="s">
        <v>209</v>
      </c>
    </row>
    <row r="56" spans="2:27">
      <c r="D56" s="7">
        <v>15</v>
      </c>
      <c r="E56" s="7">
        <v>16</v>
      </c>
      <c r="F56" s="7" t="s">
        <v>208</v>
      </c>
      <c r="G56" s="7">
        <v>18</v>
      </c>
      <c r="H56" s="7">
        <v>19</v>
      </c>
      <c r="I56" s="7">
        <v>20</v>
      </c>
      <c r="J56" s="7">
        <v>21</v>
      </c>
      <c r="K56" s="7">
        <v>22</v>
      </c>
      <c r="L56" s="7">
        <v>23</v>
      </c>
      <c r="M56" s="7">
        <v>24</v>
      </c>
      <c r="N56" s="7">
        <v>25</v>
      </c>
      <c r="O56" s="7">
        <v>26</v>
      </c>
    </row>
    <row r="57" spans="2:27">
      <c r="B57" s="259" t="s">
        <v>2</v>
      </c>
      <c r="C57" s="260"/>
      <c r="D57" s="9">
        <f>E31</f>
        <v>2.7</v>
      </c>
      <c r="E57" s="9">
        <f>$D57</f>
        <v>2.7</v>
      </c>
      <c r="F57" s="9">
        <f>$D57</f>
        <v>2.7</v>
      </c>
      <c r="G57" s="9"/>
      <c r="H57" s="9"/>
      <c r="I57" s="9">
        <f>$D57</f>
        <v>2.7</v>
      </c>
      <c r="J57" s="9">
        <f>$D57</f>
        <v>2.7</v>
      </c>
      <c r="K57" s="9">
        <f>$D57</f>
        <v>2.7</v>
      </c>
      <c r="L57" s="9">
        <v>2.7</v>
      </c>
      <c r="M57" s="9">
        <f>$L57</f>
        <v>2.7</v>
      </c>
      <c r="N57" s="9">
        <f>$L57</f>
        <v>2.7</v>
      </c>
      <c r="O57" s="9">
        <f>$L57</f>
        <v>2.7</v>
      </c>
    </row>
    <row r="58" spans="2:27">
      <c r="B58" s="259"/>
      <c r="C58" s="260"/>
      <c r="D58" s="9">
        <f>E32</f>
        <v>168.57426133256084</v>
      </c>
      <c r="E58" s="9"/>
      <c r="F58" s="9"/>
      <c r="G58" s="9"/>
      <c r="H58" s="9"/>
      <c r="I58" s="9">
        <f>P32</f>
        <v>168.57426133256084</v>
      </c>
      <c r="J58" s="9"/>
      <c r="K58" s="9"/>
      <c r="L58" s="9">
        <f>P32</f>
        <v>168.57426133256084</v>
      </c>
      <c r="M58" s="9"/>
      <c r="N58" s="9"/>
      <c r="O58" s="9"/>
    </row>
    <row r="59" spans="2:27">
      <c r="B59" s="259" t="s">
        <v>3</v>
      </c>
      <c r="C59" s="260"/>
      <c r="D59" s="256">
        <f>D79</f>
        <v>79.533862266997446</v>
      </c>
      <c r="E59" s="9">
        <f>D59-F59</f>
        <v>11.570201137352853</v>
      </c>
      <c r="F59" s="256">
        <f>F79</f>
        <v>67.963661129644592</v>
      </c>
      <c r="G59" s="9"/>
      <c r="H59" s="9"/>
      <c r="I59" s="256">
        <f>F59+G59+H59</f>
        <v>67.963661129644592</v>
      </c>
      <c r="J59" s="256">
        <f>J79</f>
        <v>56.775179935966875</v>
      </c>
      <c r="K59" s="9">
        <f>F59-J59</f>
        <v>11.188481193677717</v>
      </c>
      <c r="L59" s="256">
        <f>L79</f>
        <v>64.790801901357838</v>
      </c>
      <c r="M59" s="9">
        <f>L59-N59</f>
        <v>14.359498149585384</v>
      </c>
      <c r="N59" s="256">
        <f>N79</f>
        <v>50.431303751772454</v>
      </c>
      <c r="O59" s="9">
        <f>E59+M59</f>
        <v>25.929699286938238</v>
      </c>
    </row>
    <row r="60" spans="2:27">
      <c r="B60" s="259" t="s">
        <v>4</v>
      </c>
      <c r="C60" s="260"/>
      <c r="D60" s="14">
        <f>D59/D61</f>
        <v>0.16257311424001308</v>
      </c>
      <c r="E60" s="14">
        <f>E59/E61</f>
        <v>3.1642939706741133E-2</v>
      </c>
      <c r="F60" s="98">
        <v>0.55000000000000004</v>
      </c>
      <c r="G60" s="14"/>
      <c r="H60" s="14"/>
      <c r="I60" s="14">
        <f t="shared" ref="I60" si="24">I59/I61</f>
        <v>0.3067363418659958</v>
      </c>
      <c r="J60" s="242">
        <v>0.71499999999999997</v>
      </c>
      <c r="K60" s="14">
        <f t="shared" ref="K60:O60" si="25">K59/K61</f>
        <v>7.8700979307787564E-2</v>
      </c>
      <c r="L60" s="14">
        <f t="shared" si="25"/>
        <v>8.6512183538723642E-2</v>
      </c>
      <c r="M60" s="14">
        <f>M59/M61</f>
        <v>2.184858451894986E-2</v>
      </c>
      <c r="N60" s="98">
        <v>0.55000000000000004</v>
      </c>
      <c r="O60" s="14">
        <f t="shared" si="25"/>
        <v>2.5349782710282907E-2</v>
      </c>
    </row>
    <row r="61" spans="2:27">
      <c r="B61" s="259" t="s">
        <v>5</v>
      </c>
      <c r="C61" s="260"/>
      <c r="D61" s="12">
        <f>(4*D59+D65)/4</f>
        <v>489.2190362397713</v>
      </c>
      <c r="E61" s="12">
        <f>(4*E59+E65)/4</f>
        <v>365.64874327678115</v>
      </c>
      <c r="F61" s="12">
        <f>F59/F60</f>
        <v>123.57029296299015</v>
      </c>
      <c r="G61" s="9"/>
      <c r="H61" s="9"/>
      <c r="I61" s="12">
        <f t="shared" ref="I61" si="26">(4*I59+I65)/4</f>
        <v>221.57029296299015</v>
      </c>
      <c r="J61" s="12">
        <f>J59/J60</f>
        <v>79.405846064289335</v>
      </c>
      <c r="K61" s="12">
        <f>(4*K59+K65)/4</f>
        <v>142.16444689870082</v>
      </c>
      <c r="L61" s="12">
        <f t="shared" ref="L61:O61" si="27">(4*L59+L65)/4</f>
        <v>748.92112591698583</v>
      </c>
      <c r="M61" s="12">
        <f>(4*M59+M65)/4</f>
        <v>657.22784636830863</v>
      </c>
      <c r="N61" s="12">
        <f>N59/N60</f>
        <v>91.693279548677182</v>
      </c>
      <c r="O61" s="12">
        <f t="shared" si="27"/>
        <v>1022.8765896450897</v>
      </c>
    </row>
    <row r="62" spans="2:27">
      <c r="B62" s="259" t="s">
        <v>6</v>
      </c>
      <c r="C62" s="260"/>
      <c r="D62" s="9">
        <f>(D57)/(D57+D60-D57*D60)</f>
        <v>1.1140334060443173</v>
      </c>
      <c r="E62" s="9">
        <f>(E57)/(E57+E60-E57*E60)</f>
        <v>1.0203283406969557</v>
      </c>
      <c r="F62" s="9">
        <f>(F57)/(F57+F60-F57*F60)</f>
        <v>1.5297450424929182</v>
      </c>
      <c r="G62" s="9"/>
      <c r="H62" s="9"/>
      <c r="I62" s="9">
        <f t="shared" ref="I62" si="28">(I57)/(I57+I60-I57*I60)</f>
        <v>1.2393574659792317</v>
      </c>
      <c r="J62" s="9">
        <f>(J57)/(J57+J60-J57*J60)</f>
        <v>1.8187942068036378</v>
      </c>
      <c r="K62" s="9">
        <f>(K57)/(K57+K60-K57*K60)</f>
        <v>1.0521359326089255</v>
      </c>
      <c r="L62" s="9">
        <f t="shared" ref="L62:O62" si="29">(L57)/(L57+L60-L57*L60)</f>
        <v>1.0576086116869925</v>
      </c>
      <c r="M62" s="9">
        <f>(M57)/(M57+M60-M57*M60)</f>
        <v>1.0139483975349532</v>
      </c>
      <c r="N62" s="9">
        <f>(N57)/(N57+N60-N57*N60)</f>
        <v>1.5297450424929182</v>
      </c>
      <c r="O62" s="9">
        <f t="shared" si="29"/>
        <v>1.0162198590525391</v>
      </c>
    </row>
    <row r="63" spans="2:27">
      <c r="B63" s="259" t="s">
        <v>7</v>
      </c>
      <c r="C63" s="260"/>
      <c r="D63" s="14">
        <f>(D62-1)/(D57-1)</f>
        <v>6.7078474143716066E-2</v>
      </c>
      <c r="E63" s="14">
        <f>(E62-1)/(E57-1)</f>
        <v>1.1957847468797446E-2</v>
      </c>
      <c r="F63" s="14">
        <f>(F62-1)/(F57-1)</f>
        <v>0.31161473087818714</v>
      </c>
      <c r="G63" s="14"/>
      <c r="H63" s="14"/>
      <c r="I63" s="14">
        <f t="shared" ref="I63" si="30">(I62-1)/(I57-1)</f>
        <v>0.14079850939954805</v>
      </c>
      <c r="J63" s="14">
        <f>(J62-1)/(J57-1)</f>
        <v>0.48164365106096335</v>
      </c>
      <c r="K63" s="14">
        <f>(K62-1)/(K57-1)</f>
        <v>3.0668195652309091E-2</v>
      </c>
      <c r="L63" s="14">
        <f t="shared" ref="L63:O63" si="31">(L62-1)/(L57-1)</f>
        <v>3.3887418639407349E-2</v>
      </c>
      <c r="M63" s="14">
        <f>(M62-1)/(M57-1)</f>
        <v>8.2049397264430876E-3</v>
      </c>
      <c r="N63" s="14">
        <f>(N62-1)/(N57-1)</f>
        <v>0.31161473087818714</v>
      </c>
      <c r="O63" s="14">
        <f t="shared" si="31"/>
        <v>9.5410935603171092E-3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2"/>
    </row>
    <row r="64" spans="2:27">
      <c r="B64" s="259" t="s">
        <v>8</v>
      </c>
      <c r="C64" s="260"/>
      <c r="D64" s="12">
        <f>(D65*D57+4*D59)/D57</f>
        <v>1756.5686399903507</v>
      </c>
      <c r="E64" s="272">
        <f>(E65*E57+4*E59)/E57</f>
        <v>1433.4552072797173</v>
      </c>
      <c r="F64" s="12">
        <f>(F65*F57+4*F59)/F57</f>
        <v>323.1134327106335</v>
      </c>
      <c r="G64" s="9"/>
      <c r="H64" s="9"/>
      <c r="I64" s="12">
        <f t="shared" ref="I64" si="32">(I65*I57+4*I59)/I57</f>
        <v>715.11343271063345</v>
      </c>
      <c r="J64" s="12">
        <f>4*J61/J62</f>
        <v>174.63404219620372</v>
      </c>
      <c r="K64" s="12">
        <f>(K65*K57+4*K59)/K57</f>
        <v>540.47939051442984</v>
      </c>
      <c r="L64" s="272">
        <f t="shared" ref="L64:O64" si="33">(L65*L57+4*L59)/L57</f>
        <v>2832.5076692497087</v>
      </c>
      <c r="M64" s="272">
        <f>(M65*M57+4*M59)/M57</f>
        <v>2592.7467234668711</v>
      </c>
      <c r="N64" s="272">
        <f>4*N61/N62</f>
        <v>239.76094578283733</v>
      </c>
      <c r="O64" s="272">
        <f t="shared" si="33"/>
        <v>4026.2019307465885</v>
      </c>
    </row>
    <row r="65" spans="2:23">
      <c r="B65" s="259" t="s">
        <v>9</v>
      </c>
      <c r="C65" s="260"/>
      <c r="D65" s="12">
        <f>R39</f>
        <v>1638.7406958910954</v>
      </c>
      <c r="E65" s="12">
        <f>D65-F65</f>
        <v>1416.3141685577132</v>
      </c>
      <c r="F65" s="12">
        <f>4*(F61-F59)</f>
        <v>222.42652733338224</v>
      </c>
      <c r="G65" s="11">
        <v>387</v>
      </c>
      <c r="H65" s="11">
        <v>5</v>
      </c>
      <c r="I65" s="12">
        <f>F65+G65+H65</f>
        <v>614.42652733338218</v>
      </c>
      <c r="J65" s="12">
        <f>4*(J61-J59)</f>
        <v>90.52266451328984</v>
      </c>
      <c r="K65" s="12">
        <f>I65-J65</f>
        <v>523.9038628200924</v>
      </c>
      <c r="L65" s="12">
        <f>L39+K65</f>
        <v>2736.5212960625117</v>
      </c>
      <c r="M65" s="12">
        <f>L65-N65</f>
        <v>2571.4733928748929</v>
      </c>
      <c r="N65" s="12">
        <f>4*(N61-N59)</f>
        <v>165.04790318761891</v>
      </c>
      <c r="O65" s="12">
        <f>E65+M65</f>
        <v>3987.7875614326058</v>
      </c>
    </row>
    <row r="66" spans="2:23">
      <c r="B66" s="209" t="s">
        <v>35</v>
      </c>
      <c r="C66" s="209" t="s">
        <v>35</v>
      </c>
    </row>
    <row r="67" spans="2:23">
      <c r="B67" s="209" t="s">
        <v>39</v>
      </c>
      <c r="C67" s="209" t="s">
        <v>159</v>
      </c>
      <c r="D67" s="221" t="s">
        <v>57</v>
      </c>
      <c r="E67" s="221" t="s">
        <v>57</v>
      </c>
      <c r="F67" s="221" t="s">
        <v>57</v>
      </c>
      <c r="I67" s="221" t="s">
        <v>57</v>
      </c>
      <c r="J67" s="221" t="s">
        <v>57</v>
      </c>
      <c r="K67" s="221" t="s">
        <v>57</v>
      </c>
      <c r="L67" s="221" t="s">
        <v>57</v>
      </c>
      <c r="M67" s="221" t="s">
        <v>57</v>
      </c>
      <c r="N67" s="221" t="s">
        <v>57</v>
      </c>
    </row>
    <row r="68" spans="2:23">
      <c r="B68" s="9">
        <v>4760</v>
      </c>
      <c r="C68" s="9">
        <v>0.187</v>
      </c>
      <c r="D68" s="222">
        <f t="shared" ref="D68:D78" si="34">R42</f>
        <v>0</v>
      </c>
      <c r="E68" s="222">
        <f>D68-F68</f>
        <v>0</v>
      </c>
      <c r="F68" s="222">
        <f>'2nd Stg Cyclone'!L39</f>
        <v>0</v>
      </c>
      <c r="I68" s="222">
        <f>F68</f>
        <v>0</v>
      </c>
      <c r="J68" s="222">
        <f>'2nd Stg Teeter'!K5</f>
        <v>0</v>
      </c>
      <c r="K68" s="222">
        <f>'2nd Stg Teeter'!M5</f>
        <v>0</v>
      </c>
      <c r="L68" s="222">
        <f t="shared" ref="L68:L78" si="35">L42+K68</f>
        <v>0</v>
      </c>
      <c r="M68" s="222">
        <f>L68-N68</f>
        <v>0</v>
      </c>
      <c r="N68" s="222">
        <f>'3rd Stg Cyclone'!L39</f>
        <v>0</v>
      </c>
    </row>
    <row r="69" spans="2:23">
      <c r="B69" s="9">
        <v>2380</v>
      </c>
      <c r="C69" s="9">
        <v>9.4E-2</v>
      </c>
      <c r="D69" s="222">
        <f t="shared" si="34"/>
        <v>0</v>
      </c>
      <c r="E69" s="222">
        <f t="shared" ref="E69:E78" si="36">D69-F69</f>
        <v>0</v>
      </c>
      <c r="F69" s="222">
        <f>'2nd Stg Cyclone'!L40</f>
        <v>0</v>
      </c>
      <c r="I69" s="222">
        <f t="shared" ref="I69:I78" si="37">F69</f>
        <v>0</v>
      </c>
      <c r="J69" s="222">
        <f>'2nd Stg Teeter'!K6</f>
        <v>0</v>
      </c>
      <c r="K69" s="222">
        <f>'2nd Stg Teeter'!M6</f>
        <v>0</v>
      </c>
      <c r="L69" s="222">
        <f t="shared" si="35"/>
        <v>0</v>
      </c>
      <c r="M69" s="222">
        <f t="shared" ref="M69:M78" si="38">L69-N69</f>
        <v>0</v>
      </c>
      <c r="N69" s="222">
        <f>'3rd Stg Cyclone'!L40</f>
        <v>0</v>
      </c>
    </row>
    <row r="70" spans="2:23">
      <c r="B70" s="9">
        <v>1190</v>
      </c>
      <c r="C70" s="9">
        <v>4.7E-2</v>
      </c>
      <c r="D70" s="222">
        <f t="shared" si="34"/>
        <v>23.550956368883533</v>
      </c>
      <c r="E70" s="222">
        <f t="shared" si="36"/>
        <v>0.30116073289983802</v>
      </c>
      <c r="F70" s="222">
        <f>'2nd Stg Cyclone'!L41</f>
        <v>23.249795635983695</v>
      </c>
      <c r="I70" s="222">
        <f t="shared" si="37"/>
        <v>23.249795635983695</v>
      </c>
      <c r="J70" s="222">
        <f>'2nd Stg Teeter'!K7</f>
        <v>23.249795635983695</v>
      </c>
      <c r="K70" s="222">
        <f>'2nd Stg Teeter'!M7</f>
        <v>0</v>
      </c>
      <c r="L70" s="222">
        <f t="shared" si="35"/>
        <v>15.364883083380647</v>
      </c>
      <c r="M70" s="222">
        <f t="shared" si="38"/>
        <v>0.57173871279635513</v>
      </c>
      <c r="N70" s="222">
        <f>'3rd Stg Cyclone'!L41</f>
        <v>14.793144370584292</v>
      </c>
      <c r="W70" s="275"/>
    </row>
    <row r="71" spans="2:23">
      <c r="B71" s="9">
        <v>595</v>
      </c>
      <c r="C71" s="9">
        <v>2.3E-2</v>
      </c>
      <c r="D71" s="222">
        <f t="shared" si="34"/>
        <v>18.9890974411489</v>
      </c>
      <c r="E71" s="222">
        <f t="shared" si="36"/>
        <v>1.5073006665941833</v>
      </c>
      <c r="F71" s="222">
        <f>'2nd Stg Cyclone'!L42</f>
        <v>17.481796774554716</v>
      </c>
      <c r="I71" s="222">
        <f t="shared" si="37"/>
        <v>17.481796774554716</v>
      </c>
      <c r="J71" s="222">
        <f>'2nd Stg Teeter'!K8</f>
        <v>17.481796774554716</v>
      </c>
      <c r="K71" s="222">
        <f>'2nd Stg Teeter'!M8</f>
        <v>0</v>
      </c>
      <c r="L71" s="222">
        <f t="shared" si="35"/>
        <v>13.62774221849908</v>
      </c>
      <c r="M71" s="222">
        <f t="shared" si="38"/>
        <v>1.8569363519611883</v>
      </c>
      <c r="N71" s="222">
        <f>'3rd Stg Cyclone'!L42</f>
        <v>11.770805866537891</v>
      </c>
    </row>
    <row r="72" spans="2:23">
      <c r="B72" s="9">
        <v>297</v>
      </c>
      <c r="C72" s="9">
        <v>1.2E-2</v>
      </c>
      <c r="D72" s="222">
        <f t="shared" si="34"/>
        <v>19.608650622266875</v>
      </c>
      <c r="E72" s="222">
        <f t="shared" si="36"/>
        <v>3.8838501872047733</v>
      </c>
      <c r="F72" s="222">
        <f>'2nd Stg Cyclone'!L43</f>
        <v>15.724800435062102</v>
      </c>
      <c r="I72" s="222">
        <f t="shared" si="37"/>
        <v>15.724800435062102</v>
      </c>
      <c r="J72" s="222">
        <f>'2nd Stg Teeter'!K9</f>
        <v>11.793600326296577</v>
      </c>
      <c r="K72" s="222">
        <f>'2nd Stg Teeter'!M9</f>
        <v>3.9312001087655251</v>
      </c>
      <c r="L72" s="222">
        <f t="shared" si="35"/>
        <v>15.084761299869294</v>
      </c>
      <c r="M72" s="222">
        <f t="shared" si="38"/>
        <v>3.9376547636845061</v>
      </c>
      <c r="N72" s="222">
        <f>'3rd Stg Cyclone'!L43</f>
        <v>11.147106536184788</v>
      </c>
    </row>
    <row r="73" spans="2:23">
      <c r="B73" s="9">
        <v>149</v>
      </c>
      <c r="C73" s="9">
        <v>6.0000000000000001E-3</v>
      </c>
      <c r="D73" s="222">
        <f t="shared" si="34"/>
        <v>12.353158455285895</v>
      </c>
      <c r="E73" s="222">
        <f t="shared" si="36"/>
        <v>3.8531840570221245</v>
      </c>
      <c r="F73" s="222">
        <f>'2nd Stg Cyclone'!L44</f>
        <v>8.4999743982637703</v>
      </c>
      <c r="I73" s="222">
        <f t="shared" si="37"/>
        <v>8.4999743982637703</v>
      </c>
      <c r="J73" s="222">
        <f>'2nd Stg Teeter'!K10</f>
        <v>4.2499871991318852</v>
      </c>
      <c r="K73" s="222">
        <f>'2nd Stg Teeter'!M10</f>
        <v>4.2499871991318852</v>
      </c>
      <c r="L73" s="222">
        <f t="shared" si="35"/>
        <v>13.357988181768004</v>
      </c>
      <c r="M73" s="222">
        <f t="shared" si="38"/>
        <v>4.8156607994342213</v>
      </c>
      <c r="N73" s="222">
        <f>'3rd Stg Cyclone'!L44</f>
        <v>8.5423273823337826</v>
      </c>
    </row>
    <row r="74" spans="2:23">
      <c r="B74" s="9">
        <v>74</v>
      </c>
      <c r="C74" s="9">
        <v>3.0000000000000001E-3</v>
      </c>
      <c r="D74" s="222">
        <f t="shared" si="34"/>
        <v>4.5427097288549838</v>
      </c>
      <c r="E74" s="222">
        <f t="shared" si="36"/>
        <v>1.7836220598773496</v>
      </c>
      <c r="F74" s="222">
        <f>'2nd Stg Cyclone'!L45</f>
        <v>2.7590876689776342</v>
      </c>
      <c r="I74" s="222">
        <f t="shared" si="37"/>
        <v>2.7590876689776342</v>
      </c>
      <c r="J74" s="222">
        <f>'2nd Stg Teeter'!K11</f>
        <v>0</v>
      </c>
      <c r="K74" s="222">
        <f>'2nd Stg Teeter'!M11</f>
        <v>2.7590876689776342</v>
      </c>
      <c r="L74" s="222">
        <f t="shared" si="35"/>
        <v>6.6232153389911952</v>
      </c>
      <c r="M74" s="222">
        <f t="shared" si="38"/>
        <v>2.8121529148121915</v>
      </c>
      <c r="N74" s="222">
        <f>'3rd Stg Cyclone'!L45</f>
        <v>3.8110624241790036</v>
      </c>
    </row>
    <row r="75" spans="2:23">
      <c r="B75" s="9"/>
      <c r="C75" s="9"/>
      <c r="D75" s="222">
        <f t="shared" si="34"/>
        <v>0.48928965055724766</v>
      </c>
      <c r="E75" s="222">
        <f t="shared" si="36"/>
        <v>0.2410834337545549</v>
      </c>
      <c r="F75" s="222">
        <f>'2nd Stg Cyclone'!L46</f>
        <v>0.24820621680269275</v>
      </c>
      <c r="I75" s="222">
        <f t="shared" si="37"/>
        <v>0.24820621680269275</v>
      </c>
      <c r="J75" s="222">
        <f>'2nd Stg Teeter'!K12</f>
        <v>0</v>
      </c>
      <c r="K75" s="222">
        <f>'2nd Stg Teeter'!M12</f>
        <v>0.24820621680269275</v>
      </c>
      <c r="L75" s="222">
        <f t="shared" si="35"/>
        <v>0.73221177884961808</v>
      </c>
      <c r="M75" s="222">
        <f t="shared" si="38"/>
        <v>0.365354606896925</v>
      </c>
      <c r="N75" s="222">
        <f>'3rd Stg Cyclone'!L46</f>
        <v>0.36685717195269307</v>
      </c>
    </row>
    <row r="76" spans="2:23">
      <c r="B76" s="9"/>
      <c r="C76" s="9"/>
      <c r="D76" s="222">
        <f t="shared" si="34"/>
        <v>0</v>
      </c>
      <c r="E76" s="222">
        <f t="shared" si="36"/>
        <v>0</v>
      </c>
      <c r="F76" s="222">
        <f>'2nd Stg Cyclone'!L47</f>
        <v>0</v>
      </c>
      <c r="I76" s="222">
        <f t="shared" si="37"/>
        <v>0</v>
      </c>
      <c r="J76" s="222">
        <f>'2nd Stg Teeter'!K13</f>
        <v>0</v>
      </c>
      <c r="K76" s="222">
        <f>'2nd Stg Teeter'!M13</f>
        <v>0</v>
      </c>
      <c r="L76" s="222">
        <f t="shared" si="35"/>
        <v>0</v>
      </c>
      <c r="M76" s="222">
        <f t="shared" si="38"/>
        <v>0</v>
      </c>
      <c r="N76" s="222">
        <f>'3rd Stg Cyclone'!L47</f>
        <v>0</v>
      </c>
    </row>
    <row r="77" spans="2:23">
      <c r="B77" s="9"/>
      <c r="C77" s="9"/>
      <c r="D77" s="222">
        <f t="shared" si="34"/>
        <v>0</v>
      </c>
      <c r="E77" s="222">
        <f t="shared" si="36"/>
        <v>0</v>
      </c>
      <c r="F77" s="222">
        <f>'2nd Stg Cyclone'!L48</f>
        <v>0</v>
      </c>
      <c r="I77" s="222">
        <f t="shared" si="37"/>
        <v>0</v>
      </c>
      <c r="J77" s="222">
        <f>'2nd Stg Teeter'!K14</f>
        <v>0</v>
      </c>
      <c r="K77" s="222">
        <f>'2nd Stg Teeter'!M14</f>
        <v>0</v>
      </c>
      <c r="L77" s="222">
        <f t="shared" si="35"/>
        <v>0</v>
      </c>
      <c r="M77" s="222">
        <f t="shared" si="38"/>
        <v>0</v>
      </c>
      <c r="N77" s="222">
        <f>'3rd Stg Cyclone'!L48</f>
        <v>0</v>
      </c>
    </row>
    <row r="78" spans="2:23" ht="15" thickBot="1">
      <c r="B78" s="9"/>
      <c r="C78" s="9"/>
      <c r="D78" s="222">
        <f t="shared" si="34"/>
        <v>0</v>
      </c>
      <c r="E78" s="222">
        <f t="shared" si="36"/>
        <v>0</v>
      </c>
      <c r="F78" s="222">
        <f>'2nd Stg Cyclone'!L49</f>
        <v>0</v>
      </c>
      <c r="I78" s="222">
        <f t="shared" si="37"/>
        <v>0</v>
      </c>
      <c r="J78" s="222">
        <f>'2nd Stg Teeter'!K15</f>
        <v>0</v>
      </c>
      <c r="K78" s="222">
        <f>'2nd Stg Teeter'!M15</f>
        <v>0</v>
      </c>
      <c r="L78" s="222">
        <f t="shared" si="35"/>
        <v>0</v>
      </c>
      <c r="M78" s="222">
        <f t="shared" si="38"/>
        <v>0</v>
      </c>
      <c r="N78" s="222">
        <f>'3rd Stg Cyclone'!L49</f>
        <v>0</v>
      </c>
    </row>
    <row r="79" spans="2:23" ht="15" thickBot="1">
      <c r="B79" s="9" t="s">
        <v>198</v>
      </c>
      <c r="C79" s="9"/>
      <c r="D79" s="257">
        <f>SUM(D67:D78)</f>
        <v>79.533862266997446</v>
      </c>
      <c r="E79" s="257">
        <f t="shared" ref="E79:F79" si="39">SUM(E67:E78)</f>
        <v>11.570201137352823</v>
      </c>
      <c r="F79" s="257">
        <f t="shared" si="39"/>
        <v>67.963661129644592</v>
      </c>
      <c r="I79" s="257">
        <f>SUM(I67:I78)</f>
        <v>67.963661129644592</v>
      </c>
      <c r="J79" s="257">
        <f>SUM(J67:J78)</f>
        <v>56.775179935966875</v>
      </c>
      <c r="K79" s="257">
        <f>SUM(K67:K78)</f>
        <v>11.188481193677738</v>
      </c>
      <c r="L79" s="257">
        <f>SUM(L67:L78)</f>
        <v>64.790801901357838</v>
      </c>
      <c r="M79" s="257">
        <f t="shared" ref="M79" si="40">SUM(M67:M78)</f>
        <v>14.359498149585388</v>
      </c>
      <c r="N79" s="257">
        <f>SUM(N67:N78)</f>
        <v>50.431303751772454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187"/>
  <sheetViews>
    <sheetView workbookViewId="0">
      <selection activeCell="E28" sqref="E28"/>
    </sheetView>
  </sheetViews>
  <sheetFormatPr defaultColWidth="9.109375" defaultRowHeight="12.75" customHeight="1"/>
  <cols>
    <col min="1" max="1" width="3.88671875" style="100" customWidth="1"/>
    <col min="2" max="5" width="8.33203125" style="22" customWidth="1"/>
    <col min="6" max="6" width="2.88671875" style="100" customWidth="1"/>
    <col min="7" max="11" width="6.44140625" style="100" customWidth="1"/>
    <col min="12" max="13" width="8.44140625" style="100" customWidth="1"/>
    <col min="14" max="14" width="9.5546875" style="100" customWidth="1"/>
    <col min="15" max="15" width="7.5546875" style="100" customWidth="1"/>
    <col min="16" max="16" width="2.88671875" style="100" customWidth="1"/>
    <col min="17" max="21" width="6.44140625" style="100" customWidth="1"/>
    <col min="22" max="23" width="8.44140625" style="100" customWidth="1"/>
    <col min="24" max="24" width="9.5546875" style="100" customWidth="1"/>
    <col min="25" max="25" width="7.5546875" style="100" customWidth="1"/>
    <col min="26" max="26" width="2.88671875" style="100" customWidth="1"/>
    <col min="27" max="31" width="6.44140625" style="100" customWidth="1"/>
    <col min="32" max="33" width="8.44140625" style="100" customWidth="1"/>
    <col min="34" max="34" width="9.5546875" style="100" customWidth="1"/>
    <col min="35" max="35" width="7.5546875" style="100" customWidth="1"/>
    <col min="36" max="36" width="2.88671875" style="100" customWidth="1"/>
    <col min="37" max="256" width="9.109375" style="100"/>
    <col min="257" max="257" width="3.88671875" style="100" customWidth="1"/>
    <col min="258" max="261" width="8.33203125" style="100" customWidth="1"/>
    <col min="262" max="262" width="2.88671875" style="100" customWidth="1"/>
    <col min="263" max="267" width="6.44140625" style="100" customWidth="1"/>
    <col min="268" max="269" width="8.44140625" style="100" customWidth="1"/>
    <col min="270" max="270" width="9.5546875" style="100" customWidth="1"/>
    <col min="271" max="271" width="7.5546875" style="100" customWidth="1"/>
    <col min="272" max="272" width="2.88671875" style="100" customWidth="1"/>
    <col min="273" max="277" width="6.44140625" style="100" customWidth="1"/>
    <col min="278" max="279" width="8.44140625" style="100" customWidth="1"/>
    <col min="280" max="280" width="9.5546875" style="100" customWidth="1"/>
    <col min="281" max="281" width="7.5546875" style="100" customWidth="1"/>
    <col min="282" max="282" width="2.88671875" style="100" customWidth="1"/>
    <col min="283" max="287" width="6.44140625" style="100" customWidth="1"/>
    <col min="288" max="289" width="8.44140625" style="100" customWidth="1"/>
    <col min="290" max="290" width="9.5546875" style="100" customWidth="1"/>
    <col min="291" max="291" width="7.5546875" style="100" customWidth="1"/>
    <col min="292" max="292" width="2.88671875" style="100" customWidth="1"/>
    <col min="293" max="512" width="9.109375" style="100"/>
    <col min="513" max="513" width="3.88671875" style="100" customWidth="1"/>
    <col min="514" max="517" width="8.33203125" style="100" customWidth="1"/>
    <col min="518" max="518" width="2.88671875" style="100" customWidth="1"/>
    <col min="519" max="523" width="6.44140625" style="100" customWidth="1"/>
    <col min="524" max="525" width="8.44140625" style="100" customWidth="1"/>
    <col min="526" max="526" width="9.5546875" style="100" customWidth="1"/>
    <col min="527" max="527" width="7.5546875" style="100" customWidth="1"/>
    <col min="528" max="528" width="2.88671875" style="100" customWidth="1"/>
    <col min="529" max="533" width="6.44140625" style="100" customWidth="1"/>
    <col min="534" max="535" width="8.44140625" style="100" customWidth="1"/>
    <col min="536" max="536" width="9.5546875" style="100" customWidth="1"/>
    <col min="537" max="537" width="7.5546875" style="100" customWidth="1"/>
    <col min="538" max="538" width="2.88671875" style="100" customWidth="1"/>
    <col min="539" max="543" width="6.44140625" style="100" customWidth="1"/>
    <col min="544" max="545" width="8.44140625" style="100" customWidth="1"/>
    <col min="546" max="546" width="9.5546875" style="100" customWidth="1"/>
    <col min="547" max="547" width="7.5546875" style="100" customWidth="1"/>
    <col min="548" max="548" width="2.88671875" style="100" customWidth="1"/>
    <col min="549" max="768" width="9.109375" style="100"/>
    <col min="769" max="769" width="3.88671875" style="100" customWidth="1"/>
    <col min="770" max="773" width="8.33203125" style="100" customWidth="1"/>
    <col min="774" max="774" width="2.88671875" style="100" customWidth="1"/>
    <col min="775" max="779" width="6.44140625" style="100" customWidth="1"/>
    <col min="780" max="781" width="8.44140625" style="100" customWidth="1"/>
    <col min="782" max="782" width="9.5546875" style="100" customWidth="1"/>
    <col min="783" max="783" width="7.5546875" style="100" customWidth="1"/>
    <col min="784" max="784" width="2.88671875" style="100" customWidth="1"/>
    <col min="785" max="789" width="6.44140625" style="100" customWidth="1"/>
    <col min="790" max="791" width="8.44140625" style="100" customWidth="1"/>
    <col min="792" max="792" width="9.5546875" style="100" customWidth="1"/>
    <col min="793" max="793" width="7.5546875" style="100" customWidth="1"/>
    <col min="794" max="794" width="2.88671875" style="100" customWidth="1"/>
    <col min="795" max="799" width="6.44140625" style="100" customWidth="1"/>
    <col min="800" max="801" width="8.44140625" style="100" customWidth="1"/>
    <col min="802" max="802" width="9.5546875" style="100" customWidth="1"/>
    <col min="803" max="803" width="7.5546875" style="100" customWidth="1"/>
    <col min="804" max="804" width="2.88671875" style="100" customWidth="1"/>
    <col min="805" max="1024" width="9.109375" style="100"/>
    <col min="1025" max="1025" width="3.88671875" style="100" customWidth="1"/>
    <col min="1026" max="1029" width="8.33203125" style="100" customWidth="1"/>
    <col min="1030" max="1030" width="2.88671875" style="100" customWidth="1"/>
    <col min="1031" max="1035" width="6.44140625" style="100" customWidth="1"/>
    <col min="1036" max="1037" width="8.44140625" style="100" customWidth="1"/>
    <col min="1038" max="1038" width="9.5546875" style="100" customWidth="1"/>
    <col min="1039" max="1039" width="7.5546875" style="100" customWidth="1"/>
    <col min="1040" max="1040" width="2.88671875" style="100" customWidth="1"/>
    <col min="1041" max="1045" width="6.44140625" style="100" customWidth="1"/>
    <col min="1046" max="1047" width="8.44140625" style="100" customWidth="1"/>
    <col min="1048" max="1048" width="9.5546875" style="100" customWidth="1"/>
    <col min="1049" max="1049" width="7.5546875" style="100" customWidth="1"/>
    <col min="1050" max="1050" width="2.88671875" style="100" customWidth="1"/>
    <col min="1051" max="1055" width="6.44140625" style="100" customWidth="1"/>
    <col min="1056" max="1057" width="8.44140625" style="100" customWidth="1"/>
    <col min="1058" max="1058" width="9.5546875" style="100" customWidth="1"/>
    <col min="1059" max="1059" width="7.5546875" style="100" customWidth="1"/>
    <col min="1060" max="1060" width="2.88671875" style="100" customWidth="1"/>
    <col min="1061" max="1280" width="9.109375" style="100"/>
    <col min="1281" max="1281" width="3.88671875" style="100" customWidth="1"/>
    <col min="1282" max="1285" width="8.33203125" style="100" customWidth="1"/>
    <col min="1286" max="1286" width="2.88671875" style="100" customWidth="1"/>
    <col min="1287" max="1291" width="6.44140625" style="100" customWidth="1"/>
    <col min="1292" max="1293" width="8.44140625" style="100" customWidth="1"/>
    <col min="1294" max="1294" width="9.5546875" style="100" customWidth="1"/>
    <col min="1295" max="1295" width="7.5546875" style="100" customWidth="1"/>
    <col min="1296" max="1296" width="2.88671875" style="100" customWidth="1"/>
    <col min="1297" max="1301" width="6.44140625" style="100" customWidth="1"/>
    <col min="1302" max="1303" width="8.44140625" style="100" customWidth="1"/>
    <col min="1304" max="1304" width="9.5546875" style="100" customWidth="1"/>
    <col min="1305" max="1305" width="7.5546875" style="100" customWidth="1"/>
    <col min="1306" max="1306" width="2.88671875" style="100" customWidth="1"/>
    <col min="1307" max="1311" width="6.44140625" style="100" customWidth="1"/>
    <col min="1312" max="1313" width="8.44140625" style="100" customWidth="1"/>
    <col min="1314" max="1314" width="9.5546875" style="100" customWidth="1"/>
    <col min="1315" max="1315" width="7.5546875" style="100" customWidth="1"/>
    <col min="1316" max="1316" width="2.88671875" style="100" customWidth="1"/>
    <col min="1317" max="1536" width="9.109375" style="100"/>
    <col min="1537" max="1537" width="3.88671875" style="100" customWidth="1"/>
    <col min="1538" max="1541" width="8.33203125" style="100" customWidth="1"/>
    <col min="1542" max="1542" width="2.88671875" style="100" customWidth="1"/>
    <col min="1543" max="1547" width="6.44140625" style="100" customWidth="1"/>
    <col min="1548" max="1549" width="8.44140625" style="100" customWidth="1"/>
    <col min="1550" max="1550" width="9.5546875" style="100" customWidth="1"/>
    <col min="1551" max="1551" width="7.5546875" style="100" customWidth="1"/>
    <col min="1552" max="1552" width="2.88671875" style="100" customWidth="1"/>
    <col min="1553" max="1557" width="6.44140625" style="100" customWidth="1"/>
    <col min="1558" max="1559" width="8.44140625" style="100" customWidth="1"/>
    <col min="1560" max="1560" width="9.5546875" style="100" customWidth="1"/>
    <col min="1561" max="1561" width="7.5546875" style="100" customWidth="1"/>
    <col min="1562" max="1562" width="2.88671875" style="100" customWidth="1"/>
    <col min="1563" max="1567" width="6.44140625" style="100" customWidth="1"/>
    <col min="1568" max="1569" width="8.44140625" style="100" customWidth="1"/>
    <col min="1570" max="1570" width="9.5546875" style="100" customWidth="1"/>
    <col min="1571" max="1571" width="7.5546875" style="100" customWidth="1"/>
    <col min="1572" max="1572" width="2.88671875" style="100" customWidth="1"/>
    <col min="1573" max="1792" width="9.109375" style="100"/>
    <col min="1793" max="1793" width="3.88671875" style="100" customWidth="1"/>
    <col min="1794" max="1797" width="8.33203125" style="100" customWidth="1"/>
    <col min="1798" max="1798" width="2.88671875" style="100" customWidth="1"/>
    <col min="1799" max="1803" width="6.44140625" style="100" customWidth="1"/>
    <col min="1804" max="1805" width="8.44140625" style="100" customWidth="1"/>
    <col min="1806" max="1806" width="9.5546875" style="100" customWidth="1"/>
    <col min="1807" max="1807" width="7.5546875" style="100" customWidth="1"/>
    <col min="1808" max="1808" width="2.88671875" style="100" customWidth="1"/>
    <col min="1809" max="1813" width="6.44140625" style="100" customWidth="1"/>
    <col min="1814" max="1815" width="8.44140625" style="100" customWidth="1"/>
    <col min="1816" max="1816" width="9.5546875" style="100" customWidth="1"/>
    <col min="1817" max="1817" width="7.5546875" style="100" customWidth="1"/>
    <col min="1818" max="1818" width="2.88671875" style="100" customWidth="1"/>
    <col min="1819" max="1823" width="6.44140625" style="100" customWidth="1"/>
    <col min="1824" max="1825" width="8.44140625" style="100" customWidth="1"/>
    <col min="1826" max="1826" width="9.5546875" style="100" customWidth="1"/>
    <col min="1827" max="1827" width="7.5546875" style="100" customWidth="1"/>
    <col min="1828" max="1828" width="2.88671875" style="100" customWidth="1"/>
    <col min="1829" max="2048" width="9.109375" style="100"/>
    <col min="2049" max="2049" width="3.88671875" style="100" customWidth="1"/>
    <col min="2050" max="2053" width="8.33203125" style="100" customWidth="1"/>
    <col min="2054" max="2054" width="2.88671875" style="100" customWidth="1"/>
    <col min="2055" max="2059" width="6.44140625" style="100" customWidth="1"/>
    <col min="2060" max="2061" width="8.44140625" style="100" customWidth="1"/>
    <col min="2062" max="2062" width="9.5546875" style="100" customWidth="1"/>
    <col min="2063" max="2063" width="7.5546875" style="100" customWidth="1"/>
    <col min="2064" max="2064" width="2.88671875" style="100" customWidth="1"/>
    <col min="2065" max="2069" width="6.44140625" style="100" customWidth="1"/>
    <col min="2070" max="2071" width="8.44140625" style="100" customWidth="1"/>
    <col min="2072" max="2072" width="9.5546875" style="100" customWidth="1"/>
    <col min="2073" max="2073" width="7.5546875" style="100" customWidth="1"/>
    <col min="2074" max="2074" width="2.88671875" style="100" customWidth="1"/>
    <col min="2075" max="2079" width="6.44140625" style="100" customWidth="1"/>
    <col min="2080" max="2081" width="8.44140625" style="100" customWidth="1"/>
    <col min="2082" max="2082" width="9.5546875" style="100" customWidth="1"/>
    <col min="2083" max="2083" width="7.5546875" style="100" customWidth="1"/>
    <col min="2084" max="2084" width="2.88671875" style="100" customWidth="1"/>
    <col min="2085" max="2304" width="9.109375" style="100"/>
    <col min="2305" max="2305" width="3.88671875" style="100" customWidth="1"/>
    <col min="2306" max="2309" width="8.33203125" style="100" customWidth="1"/>
    <col min="2310" max="2310" width="2.88671875" style="100" customWidth="1"/>
    <col min="2311" max="2315" width="6.44140625" style="100" customWidth="1"/>
    <col min="2316" max="2317" width="8.44140625" style="100" customWidth="1"/>
    <col min="2318" max="2318" width="9.5546875" style="100" customWidth="1"/>
    <col min="2319" max="2319" width="7.5546875" style="100" customWidth="1"/>
    <col min="2320" max="2320" width="2.88671875" style="100" customWidth="1"/>
    <col min="2321" max="2325" width="6.44140625" style="100" customWidth="1"/>
    <col min="2326" max="2327" width="8.44140625" style="100" customWidth="1"/>
    <col min="2328" max="2328" width="9.5546875" style="100" customWidth="1"/>
    <col min="2329" max="2329" width="7.5546875" style="100" customWidth="1"/>
    <col min="2330" max="2330" width="2.88671875" style="100" customWidth="1"/>
    <col min="2331" max="2335" width="6.44140625" style="100" customWidth="1"/>
    <col min="2336" max="2337" width="8.44140625" style="100" customWidth="1"/>
    <col min="2338" max="2338" width="9.5546875" style="100" customWidth="1"/>
    <col min="2339" max="2339" width="7.5546875" style="100" customWidth="1"/>
    <col min="2340" max="2340" width="2.88671875" style="100" customWidth="1"/>
    <col min="2341" max="2560" width="9.109375" style="100"/>
    <col min="2561" max="2561" width="3.88671875" style="100" customWidth="1"/>
    <col min="2562" max="2565" width="8.33203125" style="100" customWidth="1"/>
    <col min="2566" max="2566" width="2.88671875" style="100" customWidth="1"/>
    <col min="2567" max="2571" width="6.44140625" style="100" customWidth="1"/>
    <col min="2572" max="2573" width="8.44140625" style="100" customWidth="1"/>
    <col min="2574" max="2574" width="9.5546875" style="100" customWidth="1"/>
    <col min="2575" max="2575" width="7.5546875" style="100" customWidth="1"/>
    <col min="2576" max="2576" width="2.88671875" style="100" customWidth="1"/>
    <col min="2577" max="2581" width="6.44140625" style="100" customWidth="1"/>
    <col min="2582" max="2583" width="8.44140625" style="100" customWidth="1"/>
    <col min="2584" max="2584" width="9.5546875" style="100" customWidth="1"/>
    <col min="2585" max="2585" width="7.5546875" style="100" customWidth="1"/>
    <col min="2586" max="2586" width="2.88671875" style="100" customWidth="1"/>
    <col min="2587" max="2591" width="6.44140625" style="100" customWidth="1"/>
    <col min="2592" max="2593" width="8.44140625" style="100" customWidth="1"/>
    <col min="2594" max="2594" width="9.5546875" style="100" customWidth="1"/>
    <col min="2595" max="2595" width="7.5546875" style="100" customWidth="1"/>
    <col min="2596" max="2596" width="2.88671875" style="100" customWidth="1"/>
    <col min="2597" max="2816" width="9.109375" style="100"/>
    <col min="2817" max="2817" width="3.88671875" style="100" customWidth="1"/>
    <col min="2818" max="2821" width="8.33203125" style="100" customWidth="1"/>
    <col min="2822" max="2822" width="2.88671875" style="100" customWidth="1"/>
    <col min="2823" max="2827" width="6.44140625" style="100" customWidth="1"/>
    <col min="2828" max="2829" width="8.44140625" style="100" customWidth="1"/>
    <col min="2830" max="2830" width="9.5546875" style="100" customWidth="1"/>
    <col min="2831" max="2831" width="7.5546875" style="100" customWidth="1"/>
    <col min="2832" max="2832" width="2.88671875" style="100" customWidth="1"/>
    <col min="2833" max="2837" width="6.44140625" style="100" customWidth="1"/>
    <col min="2838" max="2839" width="8.44140625" style="100" customWidth="1"/>
    <col min="2840" max="2840" width="9.5546875" style="100" customWidth="1"/>
    <col min="2841" max="2841" width="7.5546875" style="100" customWidth="1"/>
    <col min="2842" max="2842" width="2.88671875" style="100" customWidth="1"/>
    <col min="2843" max="2847" width="6.44140625" style="100" customWidth="1"/>
    <col min="2848" max="2849" width="8.44140625" style="100" customWidth="1"/>
    <col min="2850" max="2850" width="9.5546875" style="100" customWidth="1"/>
    <col min="2851" max="2851" width="7.5546875" style="100" customWidth="1"/>
    <col min="2852" max="2852" width="2.88671875" style="100" customWidth="1"/>
    <col min="2853" max="3072" width="9.109375" style="100"/>
    <col min="3073" max="3073" width="3.88671875" style="100" customWidth="1"/>
    <col min="3074" max="3077" width="8.33203125" style="100" customWidth="1"/>
    <col min="3078" max="3078" width="2.88671875" style="100" customWidth="1"/>
    <col min="3079" max="3083" width="6.44140625" style="100" customWidth="1"/>
    <col min="3084" max="3085" width="8.44140625" style="100" customWidth="1"/>
    <col min="3086" max="3086" width="9.5546875" style="100" customWidth="1"/>
    <col min="3087" max="3087" width="7.5546875" style="100" customWidth="1"/>
    <col min="3088" max="3088" width="2.88671875" style="100" customWidth="1"/>
    <col min="3089" max="3093" width="6.44140625" style="100" customWidth="1"/>
    <col min="3094" max="3095" width="8.44140625" style="100" customWidth="1"/>
    <col min="3096" max="3096" width="9.5546875" style="100" customWidth="1"/>
    <col min="3097" max="3097" width="7.5546875" style="100" customWidth="1"/>
    <col min="3098" max="3098" width="2.88671875" style="100" customWidth="1"/>
    <col min="3099" max="3103" width="6.44140625" style="100" customWidth="1"/>
    <col min="3104" max="3105" width="8.44140625" style="100" customWidth="1"/>
    <col min="3106" max="3106" width="9.5546875" style="100" customWidth="1"/>
    <col min="3107" max="3107" width="7.5546875" style="100" customWidth="1"/>
    <col min="3108" max="3108" width="2.88671875" style="100" customWidth="1"/>
    <col min="3109" max="3328" width="9.109375" style="100"/>
    <col min="3329" max="3329" width="3.88671875" style="100" customWidth="1"/>
    <col min="3330" max="3333" width="8.33203125" style="100" customWidth="1"/>
    <col min="3334" max="3334" width="2.88671875" style="100" customWidth="1"/>
    <col min="3335" max="3339" width="6.44140625" style="100" customWidth="1"/>
    <col min="3340" max="3341" width="8.44140625" style="100" customWidth="1"/>
    <col min="3342" max="3342" width="9.5546875" style="100" customWidth="1"/>
    <col min="3343" max="3343" width="7.5546875" style="100" customWidth="1"/>
    <col min="3344" max="3344" width="2.88671875" style="100" customWidth="1"/>
    <col min="3345" max="3349" width="6.44140625" style="100" customWidth="1"/>
    <col min="3350" max="3351" width="8.44140625" style="100" customWidth="1"/>
    <col min="3352" max="3352" width="9.5546875" style="100" customWidth="1"/>
    <col min="3353" max="3353" width="7.5546875" style="100" customWidth="1"/>
    <col min="3354" max="3354" width="2.88671875" style="100" customWidth="1"/>
    <col min="3355" max="3359" width="6.44140625" style="100" customWidth="1"/>
    <col min="3360" max="3361" width="8.44140625" style="100" customWidth="1"/>
    <col min="3362" max="3362" width="9.5546875" style="100" customWidth="1"/>
    <col min="3363" max="3363" width="7.5546875" style="100" customWidth="1"/>
    <col min="3364" max="3364" width="2.88671875" style="100" customWidth="1"/>
    <col min="3365" max="3584" width="9.109375" style="100"/>
    <col min="3585" max="3585" width="3.88671875" style="100" customWidth="1"/>
    <col min="3586" max="3589" width="8.33203125" style="100" customWidth="1"/>
    <col min="3590" max="3590" width="2.88671875" style="100" customWidth="1"/>
    <col min="3591" max="3595" width="6.44140625" style="100" customWidth="1"/>
    <col min="3596" max="3597" width="8.44140625" style="100" customWidth="1"/>
    <col min="3598" max="3598" width="9.5546875" style="100" customWidth="1"/>
    <col min="3599" max="3599" width="7.5546875" style="100" customWidth="1"/>
    <col min="3600" max="3600" width="2.88671875" style="100" customWidth="1"/>
    <col min="3601" max="3605" width="6.44140625" style="100" customWidth="1"/>
    <col min="3606" max="3607" width="8.44140625" style="100" customWidth="1"/>
    <col min="3608" max="3608" width="9.5546875" style="100" customWidth="1"/>
    <col min="3609" max="3609" width="7.5546875" style="100" customWidth="1"/>
    <col min="3610" max="3610" width="2.88671875" style="100" customWidth="1"/>
    <col min="3611" max="3615" width="6.44140625" style="100" customWidth="1"/>
    <col min="3616" max="3617" width="8.44140625" style="100" customWidth="1"/>
    <col min="3618" max="3618" width="9.5546875" style="100" customWidth="1"/>
    <col min="3619" max="3619" width="7.5546875" style="100" customWidth="1"/>
    <col min="3620" max="3620" width="2.88671875" style="100" customWidth="1"/>
    <col min="3621" max="3840" width="9.109375" style="100"/>
    <col min="3841" max="3841" width="3.88671875" style="100" customWidth="1"/>
    <col min="3842" max="3845" width="8.33203125" style="100" customWidth="1"/>
    <col min="3846" max="3846" width="2.88671875" style="100" customWidth="1"/>
    <col min="3847" max="3851" width="6.44140625" style="100" customWidth="1"/>
    <col min="3852" max="3853" width="8.44140625" style="100" customWidth="1"/>
    <col min="3854" max="3854" width="9.5546875" style="100" customWidth="1"/>
    <col min="3855" max="3855" width="7.5546875" style="100" customWidth="1"/>
    <col min="3856" max="3856" width="2.88671875" style="100" customWidth="1"/>
    <col min="3857" max="3861" width="6.44140625" style="100" customWidth="1"/>
    <col min="3862" max="3863" width="8.44140625" style="100" customWidth="1"/>
    <col min="3864" max="3864" width="9.5546875" style="100" customWidth="1"/>
    <col min="3865" max="3865" width="7.5546875" style="100" customWidth="1"/>
    <col min="3866" max="3866" width="2.88671875" style="100" customWidth="1"/>
    <col min="3867" max="3871" width="6.44140625" style="100" customWidth="1"/>
    <col min="3872" max="3873" width="8.44140625" style="100" customWidth="1"/>
    <col min="3874" max="3874" width="9.5546875" style="100" customWidth="1"/>
    <col min="3875" max="3875" width="7.5546875" style="100" customWidth="1"/>
    <col min="3876" max="3876" width="2.88671875" style="100" customWidth="1"/>
    <col min="3877" max="4096" width="9.109375" style="100"/>
    <col min="4097" max="4097" width="3.88671875" style="100" customWidth="1"/>
    <col min="4098" max="4101" width="8.33203125" style="100" customWidth="1"/>
    <col min="4102" max="4102" width="2.88671875" style="100" customWidth="1"/>
    <col min="4103" max="4107" width="6.44140625" style="100" customWidth="1"/>
    <col min="4108" max="4109" width="8.44140625" style="100" customWidth="1"/>
    <col min="4110" max="4110" width="9.5546875" style="100" customWidth="1"/>
    <col min="4111" max="4111" width="7.5546875" style="100" customWidth="1"/>
    <col min="4112" max="4112" width="2.88671875" style="100" customWidth="1"/>
    <col min="4113" max="4117" width="6.44140625" style="100" customWidth="1"/>
    <col min="4118" max="4119" width="8.44140625" style="100" customWidth="1"/>
    <col min="4120" max="4120" width="9.5546875" style="100" customWidth="1"/>
    <col min="4121" max="4121" width="7.5546875" style="100" customWidth="1"/>
    <col min="4122" max="4122" width="2.88671875" style="100" customWidth="1"/>
    <col min="4123" max="4127" width="6.44140625" style="100" customWidth="1"/>
    <col min="4128" max="4129" width="8.44140625" style="100" customWidth="1"/>
    <col min="4130" max="4130" width="9.5546875" style="100" customWidth="1"/>
    <col min="4131" max="4131" width="7.5546875" style="100" customWidth="1"/>
    <col min="4132" max="4132" width="2.88671875" style="100" customWidth="1"/>
    <col min="4133" max="4352" width="9.109375" style="100"/>
    <col min="4353" max="4353" width="3.88671875" style="100" customWidth="1"/>
    <col min="4354" max="4357" width="8.33203125" style="100" customWidth="1"/>
    <col min="4358" max="4358" width="2.88671875" style="100" customWidth="1"/>
    <col min="4359" max="4363" width="6.44140625" style="100" customWidth="1"/>
    <col min="4364" max="4365" width="8.44140625" style="100" customWidth="1"/>
    <col min="4366" max="4366" width="9.5546875" style="100" customWidth="1"/>
    <col min="4367" max="4367" width="7.5546875" style="100" customWidth="1"/>
    <col min="4368" max="4368" width="2.88671875" style="100" customWidth="1"/>
    <col min="4369" max="4373" width="6.44140625" style="100" customWidth="1"/>
    <col min="4374" max="4375" width="8.44140625" style="100" customWidth="1"/>
    <col min="4376" max="4376" width="9.5546875" style="100" customWidth="1"/>
    <col min="4377" max="4377" width="7.5546875" style="100" customWidth="1"/>
    <col min="4378" max="4378" width="2.88671875" style="100" customWidth="1"/>
    <col min="4379" max="4383" width="6.44140625" style="100" customWidth="1"/>
    <col min="4384" max="4385" width="8.44140625" style="100" customWidth="1"/>
    <col min="4386" max="4386" width="9.5546875" style="100" customWidth="1"/>
    <col min="4387" max="4387" width="7.5546875" style="100" customWidth="1"/>
    <col min="4388" max="4388" width="2.88671875" style="100" customWidth="1"/>
    <col min="4389" max="4608" width="9.109375" style="100"/>
    <col min="4609" max="4609" width="3.88671875" style="100" customWidth="1"/>
    <col min="4610" max="4613" width="8.33203125" style="100" customWidth="1"/>
    <col min="4614" max="4614" width="2.88671875" style="100" customWidth="1"/>
    <col min="4615" max="4619" width="6.44140625" style="100" customWidth="1"/>
    <col min="4620" max="4621" width="8.44140625" style="100" customWidth="1"/>
    <col min="4622" max="4622" width="9.5546875" style="100" customWidth="1"/>
    <col min="4623" max="4623" width="7.5546875" style="100" customWidth="1"/>
    <col min="4624" max="4624" width="2.88671875" style="100" customWidth="1"/>
    <col min="4625" max="4629" width="6.44140625" style="100" customWidth="1"/>
    <col min="4630" max="4631" width="8.44140625" style="100" customWidth="1"/>
    <col min="4632" max="4632" width="9.5546875" style="100" customWidth="1"/>
    <col min="4633" max="4633" width="7.5546875" style="100" customWidth="1"/>
    <col min="4634" max="4634" width="2.88671875" style="100" customWidth="1"/>
    <col min="4635" max="4639" width="6.44140625" style="100" customWidth="1"/>
    <col min="4640" max="4641" width="8.44140625" style="100" customWidth="1"/>
    <col min="4642" max="4642" width="9.5546875" style="100" customWidth="1"/>
    <col min="4643" max="4643" width="7.5546875" style="100" customWidth="1"/>
    <col min="4644" max="4644" width="2.88671875" style="100" customWidth="1"/>
    <col min="4645" max="4864" width="9.109375" style="100"/>
    <col min="4865" max="4865" width="3.88671875" style="100" customWidth="1"/>
    <col min="4866" max="4869" width="8.33203125" style="100" customWidth="1"/>
    <col min="4870" max="4870" width="2.88671875" style="100" customWidth="1"/>
    <col min="4871" max="4875" width="6.44140625" style="100" customWidth="1"/>
    <col min="4876" max="4877" width="8.44140625" style="100" customWidth="1"/>
    <col min="4878" max="4878" width="9.5546875" style="100" customWidth="1"/>
    <col min="4879" max="4879" width="7.5546875" style="100" customWidth="1"/>
    <col min="4880" max="4880" width="2.88671875" style="100" customWidth="1"/>
    <col min="4881" max="4885" width="6.44140625" style="100" customWidth="1"/>
    <col min="4886" max="4887" width="8.44140625" style="100" customWidth="1"/>
    <col min="4888" max="4888" width="9.5546875" style="100" customWidth="1"/>
    <col min="4889" max="4889" width="7.5546875" style="100" customWidth="1"/>
    <col min="4890" max="4890" width="2.88671875" style="100" customWidth="1"/>
    <col min="4891" max="4895" width="6.44140625" style="100" customWidth="1"/>
    <col min="4896" max="4897" width="8.44140625" style="100" customWidth="1"/>
    <col min="4898" max="4898" width="9.5546875" style="100" customWidth="1"/>
    <col min="4899" max="4899" width="7.5546875" style="100" customWidth="1"/>
    <col min="4900" max="4900" width="2.88671875" style="100" customWidth="1"/>
    <col min="4901" max="5120" width="9.109375" style="100"/>
    <col min="5121" max="5121" width="3.88671875" style="100" customWidth="1"/>
    <col min="5122" max="5125" width="8.33203125" style="100" customWidth="1"/>
    <col min="5126" max="5126" width="2.88671875" style="100" customWidth="1"/>
    <col min="5127" max="5131" width="6.44140625" style="100" customWidth="1"/>
    <col min="5132" max="5133" width="8.44140625" style="100" customWidth="1"/>
    <col min="5134" max="5134" width="9.5546875" style="100" customWidth="1"/>
    <col min="5135" max="5135" width="7.5546875" style="100" customWidth="1"/>
    <col min="5136" max="5136" width="2.88671875" style="100" customWidth="1"/>
    <col min="5137" max="5141" width="6.44140625" style="100" customWidth="1"/>
    <col min="5142" max="5143" width="8.44140625" style="100" customWidth="1"/>
    <col min="5144" max="5144" width="9.5546875" style="100" customWidth="1"/>
    <col min="5145" max="5145" width="7.5546875" style="100" customWidth="1"/>
    <col min="5146" max="5146" width="2.88671875" style="100" customWidth="1"/>
    <col min="5147" max="5151" width="6.44140625" style="100" customWidth="1"/>
    <col min="5152" max="5153" width="8.44140625" style="100" customWidth="1"/>
    <col min="5154" max="5154" width="9.5546875" style="100" customWidth="1"/>
    <col min="5155" max="5155" width="7.5546875" style="100" customWidth="1"/>
    <col min="5156" max="5156" width="2.88671875" style="100" customWidth="1"/>
    <col min="5157" max="5376" width="9.109375" style="100"/>
    <col min="5377" max="5377" width="3.88671875" style="100" customWidth="1"/>
    <col min="5378" max="5381" width="8.33203125" style="100" customWidth="1"/>
    <col min="5382" max="5382" width="2.88671875" style="100" customWidth="1"/>
    <col min="5383" max="5387" width="6.44140625" style="100" customWidth="1"/>
    <col min="5388" max="5389" width="8.44140625" style="100" customWidth="1"/>
    <col min="5390" max="5390" width="9.5546875" style="100" customWidth="1"/>
    <col min="5391" max="5391" width="7.5546875" style="100" customWidth="1"/>
    <col min="5392" max="5392" width="2.88671875" style="100" customWidth="1"/>
    <col min="5393" max="5397" width="6.44140625" style="100" customWidth="1"/>
    <col min="5398" max="5399" width="8.44140625" style="100" customWidth="1"/>
    <col min="5400" max="5400" width="9.5546875" style="100" customWidth="1"/>
    <col min="5401" max="5401" width="7.5546875" style="100" customWidth="1"/>
    <col min="5402" max="5402" width="2.88671875" style="100" customWidth="1"/>
    <col min="5403" max="5407" width="6.44140625" style="100" customWidth="1"/>
    <col min="5408" max="5409" width="8.44140625" style="100" customWidth="1"/>
    <col min="5410" max="5410" width="9.5546875" style="100" customWidth="1"/>
    <col min="5411" max="5411" width="7.5546875" style="100" customWidth="1"/>
    <col min="5412" max="5412" width="2.88671875" style="100" customWidth="1"/>
    <col min="5413" max="5632" width="9.109375" style="100"/>
    <col min="5633" max="5633" width="3.88671875" style="100" customWidth="1"/>
    <col min="5634" max="5637" width="8.33203125" style="100" customWidth="1"/>
    <col min="5638" max="5638" width="2.88671875" style="100" customWidth="1"/>
    <col min="5639" max="5643" width="6.44140625" style="100" customWidth="1"/>
    <col min="5644" max="5645" width="8.44140625" style="100" customWidth="1"/>
    <col min="5646" max="5646" width="9.5546875" style="100" customWidth="1"/>
    <col min="5647" max="5647" width="7.5546875" style="100" customWidth="1"/>
    <col min="5648" max="5648" width="2.88671875" style="100" customWidth="1"/>
    <col min="5649" max="5653" width="6.44140625" style="100" customWidth="1"/>
    <col min="5654" max="5655" width="8.44140625" style="100" customWidth="1"/>
    <col min="5656" max="5656" width="9.5546875" style="100" customWidth="1"/>
    <col min="5657" max="5657" width="7.5546875" style="100" customWidth="1"/>
    <col min="5658" max="5658" width="2.88671875" style="100" customWidth="1"/>
    <col min="5659" max="5663" width="6.44140625" style="100" customWidth="1"/>
    <col min="5664" max="5665" width="8.44140625" style="100" customWidth="1"/>
    <col min="5666" max="5666" width="9.5546875" style="100" customWidth="1"/>
    <col min="5667" max="5667" width="7.5546875" style="100" customWidth="1"/>
    <col min="5668" max="5668" width="2.88671875" style="100" customWidth="1"/>
    <col min="5669" max="5888" width="9.109375" style="100"/>
    <col min="5889" max="5889" width="3.88671875" style="100" customWidth="1"/>
    <col min="5890" max="5893" width="8.33203125" style="100" customWidth="1"/>
    <col min="5894" max="5894" width="2.88671875" style="100" customWidth="1"/>
    <col min="5895" max="5899" width="6.44140625" style="100" customWidth="1"/>
    <col min="5900" max="5901" width="8.44140625" style="100" customWidth="1"/>
    <col min="5902" max="5902" width="9.5546875" style="100" customWidth="1"/>
    <col min="5903" max="5903" width="7.5546875" style="100" customWidth="1"/>
    <col min="5904" max="5904" width="2.88671875" style="100" customWidth="1"/>
    <col min="5905" max="5909" width="6.44140625" style="100" customWidth="1"/>
    <col min="5910" max="5911" width="8.44140625" style="100" customWidth="1"/>
    <col min="5912" max="5912" width="9.5546875" style="100" customWidth="1"/>
    <col min="5913" max="5913" width="7.5546875" style="100" customWidth="1"/>
    <col min="5914" max="5914" width="2.88671875" style="100" customWidth="1"/>
    <col min="5915" max="5919" width="6.44140625" style="100" customWidth="1"/>
    <col min="5920" max="5921" width="8.44140625" style="100" customWidth="1"/>
    <col min="5922" max="5922" width="9.5546875" style="100" customWidth="1"/>
    <col min="5923" max="5923" width="7.5546875" style="100" customWidth="1"/>
    <col min="5924" max="5924" width="2.88671875" style="100" customWidth="1"/>
    <col min="5925" max="6144" width="9.109375" style="100"/>
    <col min="6145" max="6145" width="3.88671875" style="100" customWidth="1"/>
    <col min="6146" max="6149" width="8.33203125" style="100" customWidth="1"/>
    <col min="6150" max="6150" width="2.88671875" style="100" customWidth="1"/>
    <col min="6151" max="6155" width="6.44140625" style="100" customWidth="1"/>
    <col min="6156" max="6157" width="8.44140625" style="100" customWidth="1"/>
    <col min="6158" max="6158" width="9.5546875" style="100" customWidth="1"/>
    <col min="6159" max="6159" width="7.5546875" style="100" customWidth="1"/>
    <col min="6160" max="6160" width="2.88671875" style="100" customWidth="1"/>
    <col min="6161" max="6165" width="6.44140625" style="100" customWidth="1"/>
    <col min="6166" max="6167" width="8.44140625" style="100" customWidth="1"/>
    <col min="6168" max="6168" width="9.5546875" style="100" customWidth="1"/>
    <col min="6169" max="6169" width="7.5546875" style="100" customWidth="1"/>
    <col min="6170" max="6170" width="2.88671875" style="100" customWidth="1"/>
    <col min="6171" max="6175" width="6.44140625" style="100" customWidth="1"/>
    <col min="6176" max="6177" width="8.44140625" style="100" customWidth="1"/>
    <col min="6178" max="6178" width="9.5546875" style="100" customWidth="1"/>
    <col min="6179" max="6179" width="7.5546875" style="100" customWidth="1"/>
    <col min="6180" max="6180" width="2.88671875" style="100" customWidth="1"/>
    <col min="6181" max="6400" width="9.109375" style="100"/>
    <col min="6401" max="6401" width="3.88671875" style="100" customWidth="1"/>
    <col min="6402" max="6405" width="8.33203125" style="100" customWidth="1"/>
    <col min="6406" max="6406" width="2.88671875" style="100" customWidth="1"/>
    <col min="6407" max="6411" width="6.44140625" style="100" customWidth="1"/>
    <col min="6412" max="6413" width="8.44140625" style="100" customWidth="1"/>
    <col min="6414" max="6414" width="9.5546875" style="100" customWidth="1"/>
    <col min="6415" max="6415" width="7.5546875" style="100" customWidth="1"/>
    <col min="6416" max="6416" width="2.88671875" style="100" customWidth="1"/>
    <col min="6417" max="6421" width="6.44140625" style="100" customWidth="1"/>
    <col min="6422" max="6423" width="8.44140625" style="100" customWidth="1"/>
    <col min="6424" max="6424" width="9.5546875" style="100" customWidth="1"/>
    <col min="6425" max="6425" width="7.5546875" style="100" customWidth="1"/>
    <col min="6426" max="6426" width="2.88671875" style="100" customWidth="1"/>
    <col min="6427" max="6431" width="6.44140625" style="100" customWidth="1"/>
    <col min="6432" max="6433" width="8.44140625" style="100" customWidth="1"/>
    <col min="6434" max="6434" width="9.5546875" style="100" customWidth="1"/>
    <col min="6435" max="6435" width="7.5546875" style="100" customWidth="1"/>
    <col min="6436" max="6436" width="2.88671875" style="100" customWidth="1"/>
    <col min="6437" max="6656" width="9.109375" style="100"/>
    <col min="6657" max="6657" width="3.88671875" style="100" customWidth="1"/>
    <col min="6658" max="6661" width="8.33203125" style="100" customWidth="1"/>
    <col min="6662" max="6662" width="2.88671875" style="100" customWidth="1"/>
    <col min="6663" max="6667" width="6.44140625" style="100" customWidth="1"/>
    <col min="6668" max="6669" width="8.44140625" style="100" customWidth="1"/>
    <col min="6670" max="6670" width="9.5546875" style="100" customWidth="1"/>
    <col min="6671" max="6671" width="7.5546875" style="100" customWidth="1"/>
    <col min="6672" max="6672" width="2.88671875" style="100" customWidth="1"/>
    <col min="6673" max="6677" width="6.44140625" style="100" customWidth="1"/>
    <col min="6678" max="6679" width="8.44140625" style="100" customWidth="1"/>
    <col min="6680" max="6680" width="9.5546875" style="100" customWidth="1"/>
    <col min="6681" max="6681" width="7.5546875" style="100" customWidth="1"/>
    <col min="6682" max="6682" width="2.88671875" style="100" customWidth="1"/>
    <col min="6683" max="6687" width="6.44140625" style="100" customWidth="1"/>
    <col min="6688" max="6689" width="8.44140625" style="100" customWidth="1"/>
    <col min="6690" max="6690" width="9.5546875" style="100" customWidth="1"/>
    <col min="6691" max="6691" width="7.5546875" style="100" customWidth="1"/>
    <col min="6692" max="6692" width="2.88671875" style="100" customWidth="1"/>
    <col min="6693" max="6912" width="9.109375" style="100"/>
    <col min="6913" max="6913" width="3.88671875" style="100" customWidth="1"/>
    <col min="6914" max="6917" width="8.33203125" style="100" customWidth="1"/>
    <col min="6918" max="6918" width="2.88671875" style="100" customWidth="1"/>
    <col min="6919" max="6923" width="6.44140625" style="100" customWidth="1"/>
    <col min="6924" max="6925" width="8.44140625" style="100" customWidth="1"/>
    <col min="6926" max="6926" width="9.5546875" style="100" customWidth="1"/>
    <col min="6927" max="6927" width="7.5546875" style="100" customWidth="1"/>
    <col min="6928" max="6928" width="2.88671875" style="100" customWidth="1"/>
    <col min="6929" max="6933" width="6.44140625" style="100" customWidth="1"/>
    <col min="6934" max="6935" width="8.44140625" style="100" customWidth="1"/>
    <col min="6936" max="6936" width="9.5546875" style="100" customWidth="1"/>
    <col min="6937" max="6937" width="7.5546875" style="100" customWidth="1"/>
    <col min="6938" max="6938" width="2.88671875" style="100" customWidth="1"/>
    <col min="6939" max="6943" width="6.44140625" style="100" customWidth="1"/>
    <col min="6944" max="6945" width="8.44140625" style="100" customWidth="1"/>
    <col min="6946" max="6946" width="9.5546875" style="100" customWidth="1"/>
    <col min="6947" max="6947" width="7.5546875" style="100" customWidth="1"/>
    <col min="6948" max="6948" width="2.88671875" style="100" customWidth="1"/>
    <col min="6949" max="7168" width="9.109375" style="100"/>
    <col min="7169" max="7169" width="3.88671875" style="100" customWidth="1"/>
    <col min="7170" max="7173" width="8.33203125" style="100" customWidth="1"/>
    <col min="7174" max="7174" width="2.88671875" style="100" customWidth="1"/>
    <col min="7175" max="7179" width="6.44140625" style="100" customWidth="1"/>
    <col min="7180" max="7181" width="8.44140625" style="100" customWidth="1"/>
    <col min="7182" max="7182" width="9.5546875" style="100" customWidth="1"/>
    <col min="7183" max="7183" width="7.5546875" style="100" customWidth="1"/>
    <col min="7184" max="7184" width="2.88671875" style="100" customWidth="1"/>
    <col min="7185" max="7189" width="6.44140625" style="100" customWidth="1"/>
    <col min="7190" max="7191" width="8.44140625" style="100" customWidth="1"/>
    <col min="7192" max="7192" width="9.5546875" style="100" customWidth="1"/>
    <col min="7193" max="7193" width="7.5546875" style="100" customWidth="1"/>
    <col min="7194" max="7194" width="2.88671875" style="100" customWidth="1"/>
    <col min="7195" max="7199" width="6.44140625" style="100" customWidth="1"/>
    <col min="7200" max="7201" width="8.44140625" style="100" customWidth="1"/>
    <col min="7202" max="7202" width="9.5546875" style="100" customWidth="1"/>
    <col min="7203" max="7203" width="7.5546875" style="100" customWidth="1"/>
    <col min="7204" max="7204" width="2.88671875" style="100" customWidth="1"/>
    <col min="7205" max="7424" width="9.109375" style="100"/>
    <col min="7425" max="7425" width="3.88671875" style="100" customWidth="1"/>
    <col min="7426" max="7429" width="8.33203125" style="100" customWidth="1"/>
    <col min="7430" max="7430" width="2.88671875" style="100" customWidth="1"/>
    <col min="7431" max="7435" width="6.44140625" style="100" customWidth="1"/>
    <col min="7436" max="7437" width="8.44140625" style="100" customWidth="1"/>
    <col min="7438" max="7438" width="9.5546875" style="100" customWidth="1"/>
    <col min="7439" max="7439" width="7.5546875" style="100" customWidth="1"/>
    <col min="7440" max="7440" width="2.88671875" style="100" customWidth="1"/>
    <col min="7441" max="7445" width="6.44140625" style="100" customWidth="1"/>
    <col min="7446" max="7447" width="8.44140625" style="100" customWidth="1"/>
    <col min="7448" max="7448" width="9.5546875" style="100" customWidth="1"/>
    <col min="7449" max="7449" width="7.5546875" style="100" customWidth="1"/>
    <col min="7450" max="7450" width="2.88671875" style="100" customWidth="1"/>
    <col min="7451" max="7455" width="6.44140625" style="100" customWidth="1"/>
    <col min="7456" max="7457" width="8.44140625" style="100" customWidth="1"/>
    <col min="7458" max="7458" width="9.5546875" style="100" customWidth="1"/>
    <col min="7459" max="7459" width="7.5546875" style="100" customWidth="1"/>
    <col min="7460" max="7460" width="2.88671875" style="100" customWidth="1"/>
    <col min="7461" max="7680" width="9.109375" style="100"/>
    <col min="7681" max="7681" width="3.88671875" style="100" customWidth="1"/>
    <col min="7682" max="7685" width="8.33203125" style="100" customWidth="1"/>
    <col min="7686" max="7686" width="2.88671875" style="100" customWidth="1"/>
    <col min="7687" max="7691" width="6.44140625" style="100" customWidth="1"/>
    <col min="7692" max="7693" width="8.44140625" style="100" customWidth="1"/>
    <col min="7694" max="7694" width="9.5546875" style="100" customWidth="1"/>
    <col min="7695" max="7695" width="7.5546875" style="100" customWidth="1"/>
    <col min="7696" max="7696" width="2.88671875" style="100" customWidth="1"/>
    <col min="7697" max="7701" width="6.44140625" style="100" customWidth="1"/>
    <col min="7702" max="7703" width="8.44140625" style="100" customWidth="1"/>
    <col min="7704" max="7704" width="9.5546875" style="100" customWidth="1"/>
    <col min="7705" max="7705" width="7.5546875" style="100" customWidth="1"/>
    <col min="7706" max="7706" width="2.88671875" style="100" customWidth="1"/>
    <col min="7707" max="7711" width="6.44140625" style="100" customWidth="1"/>
    <col min="7712" max="7713" width="8.44140625" style="100" customWidth="1"/>
    <col min="7714" max="7714" width="9.5546875" style="100" customWidth="1"/>
    <col min="7715" max="7715" width="7.5546875" style="100" customWidth="1"/>
    <col min="7716" max="7716" width="2.88671875" style="100" customWidth="1"/>
    <col min="7717" max="7936" width="9.109375" style="100"/>
    <col min="7937" max="7937" width="3.88671875" style="100" customWidth="1"/>
    <col min="7938" max="7941" width="8.33203125" style="100" customWidth="1"/>
    <col min="7942" max="7942" width="2.88671875" style="100" customWidth="1"/>
    <col min="7943" max="7947" width="6.44140625" style="100" customWidth="1"/>
    <col min="7948" max="7949" width="8.44140625" style="100" customWidth="1"/>
    <col min="7950" max="7950" width="9.5546875" style="100" customWidth="1"/>
    <col min="7951" max="7951" width="7.5546875" style="100" customWidth="1"/>
    <col min="7952" max="7952" width="2.88671875" style="100" customWidth="1"/>
    <col min="7953" max="7957" width="6.44140625" style="100" customWidth="1"/>
    <col min="7958" max="7959" width="8.44140625" style="100" customWidth="1"/>
    <col min="7960" max="7960" width="9.5546875" style="100" customWidth="1"/>
    <col min="7961" max="7961" width="7.5546875" style="100" customWidth="1"/>
    <col min="7962" max="7962" width="2.88671875" style="100" customWidth="1"/>
    <col min="7963" max="7967" width="6.44140625" style="100" customWidth="1"/>
    <col min="7968" max="7969" width="8.44140625" style="100" customWidth="1"/>
    <col min="7970" max="7970" width="9.5546875" style="100" customWidth="1"/>
    <col min="7971" max="7971" width="7.5546875" style="100" customWidth="1"/>
    <col min="7972" max="7972" width="2.88671875" style="100" customWidth="1"/>
    <col min="7973" max="8192" width="9.109375" style="100"/>
    <col min="8193" max="8193" width="3.88671875" style="100" customWidth="1"/>
    <col min="8194" max="8197" width="8.33203125" style="100" customWidth="1"/>
    <col min="8198" max="8198" width="2.88671875" style="100" customWidth="1"/>
    <col min="8199" max="8203" width="6.44140625" style="100" customWidth="1"/>
    <col min="8204" max="8205" width="8.44140625" style="100" customWidth="1"/>
    <col min="8206" max="8206" width="9.5546875" style="100" customWidth="1"/>
    <col min="8207" max="8207" width="7.5546875" style="100" customWidth="1"/>
    <col min="8208" max="8208" width="2.88671875" style="100" customWidth="1"/>
    <col min="8209" max="8213" width="6.44140625" style="100" customWidth="1"/>
    <col min="8214" max="8215" width="8.44140625" style="100" customWidth="1"/>
    <col min="8216" max="8216" width="9.5546875" style="100" customWidth="1"/>
    <col min="8217" max="8217" width="7.5546875" style="100" customWidth="1"/>
    <col min="8218" max="8218" width="2.88671875" style="100" customWidth="1"/>
    <col min="8219" max="8223" width="6.44140625" style="100" customWidth="1"/>
    <col min="8224" max="8225" width="8.44140625" style="100" customWidth="1"/>
    <col min="8226" max="8226" width="9.5546875" style="100" customWidth="1"/>
    <col min="8227" max="8227" width="7.5546875" style="100" customWidth="1"/>
    <col min="8228" max="8228" width="2.88671875" style="100" customWidth="1"/>
    <col min="8229" max="8448" width="9.109375" style="100"/>
    <col min="8449" max="8449" width="3.88671875" style="100" customWidth="1"/>
    <col min="8450" max="8453" width="8.33203125" style="100" customWidth="1"/>
    <col min="8454" max="8454" width="2.88671875" style="100" customWidth="1"/>
    <col min="8455" max="8459" width="6.44140625" style="100" customWidth="1"/>
    <col min="8460" max="8461" width="8.44140625" style="100" customWidth="1"/>
    <col min="8462" max="8462" width="9.5546875" style="100" customWidth="1"/>
    <col min="8463" max="8463" width="7.5546875" style="100" customWidth="1"/>
    <col min="8464" max="8464" width="2.88671875" style="100" customWidth="1"/>
    <col min="8465" max="8469" width="6.44140625" style="100" customWidth="1"/>
    <col min="8470" max="8471" width="8.44140625" style="100" customWidth="1"/>
    <col min="8472" max="8472" width="9.5546875" style="100" customWidth="1"/>
    <col min="8473" max="8473" width="7.5546875" style="100" customWidth="1"/>
    <col min="8474" max="8474" width="2.88671875" style="100" customWidth="1"/>
    <col min="8475" max="8479" width="6.44140625" style="100" customWidth="1"/>
    <col min="8480" max="8481" width="8.44140625" style="100" customWidth="1"/>
    <col min="8482" max="8482" width="9.5546875" style="100" customWidth="1"/>
    <col min="8483" max="8483" width="7.5546875" style="100" customWidth="1"/>
    <col min="8484" max="8484" width="2.88671875" style="100" customWidth="1"/>
    <col min="8485" max="8704" width="9.109375" style="100"/>
    <col min="8705" max="8705" width="3.88671875" style="100" customWidth="1"/>
    <col min="8706" max="8709" width="8.33203125" style="100" customWidth="1"/>
    <col min="8710" max="8710" width="2.88671875" style="100" customWidth="1"/>
    <col min="8711" max="8715" width="6.44140625" style="100" customWidth="1"/>
    <col min="8716" max="8717" width="8.44140625" style="100" customWidth="1"/>
    <col min="8718" max="8718" width="9.5546875" style="100" customWidth="1"/>
    <col min="8719" max="8719" width="7.5546875" style="100" customWidth="1"/>
    <col min="8720" max="8720" width="2.88671875" style="100" customWidth="1"/>
    <col min="8721" max="8725" width="6.44140625" style="100" customWidth="1"/>
    <col min="8726" max="8727" width="8.44140625" style="100" customWidth="1"/>
    <col min="8728" max="8728" width="9.5546875" style="100" customWidth="1"/>
    <col min="8729" max="8729" width="7.5546875" style="100" customWidth="1"/>
    <col min="8730" max="8730" width="2.88671875" style="100" customWidth="1"/>
    <col min="8731" max="8735" width="6.44140625" style="100" customWidth="1"/>
    <col min="8736" max="8737" width="8.44140625" style="100" customWidth="1"/>
    <col min="8738" max="8738" width="9.5546875" style="100" customWidth="1"/>
    <col min="8739" max="8739" width="7.5546875" style="100" customWidth="1"/>
    <col min="8740" max="8740" width="2.88671875" style="100" customWidth="1"/>
    <col min="8741" max="8960" width="9.109375" style="100"/>
    <col min="8961" max="8961" width="3.88671875" style="100" customWidth="1"/>
    <col min="8962" max="8965" width="8.33203125" style="100" customWidth="1"/>
    <col min="8966" max="8966" width="2.88671875" style="100" customWidth="1"/>
    <col min="8967" max="8971" width="6.44140625" style="100" customWidth="1"/>
    <col min="8972" max="8973" width="8.44140625" style="100" customWidth="1"/>
    <col min="8974" max="8974" width="9.5546875" style="100" customWidth="1"/>
    <col min="8975" max="8975" width="7.5546875" style="100" customWidth="1"/>
    <col min="8976" max="8976" width="2.88671875" style="100" customWidth="1"/>
    <col min="8977" max="8981" width="6.44140625" style="100" customWidth="1"/>
    <col min="8982" max="8983" width="8.44140625" style="100" customWidth="1"/>
    <col min="8984" max="8984" width="9.5546875" style="100" customWidth="1"/>
    <col min="8985" max="8985" width="7.5546875" style="100" customWidth="1"/>
    <col min="8986" max="8986" width="2.88671875" style="100" customWidth="1"/>
    <col min="8987" max="8991" width="6.44140625" style="100" customWidth="1"/>
    <col min="8992" max="8993" width="8.44140625" style="100" customWidth="1"/>
    <col min="8994" max="8994" width="9.5546875" style="100" customWidth="1"/>
    <col min="8995" max="8995" width="7.5546875" style="100" customWidth="1"/>
    <col min="8996" max="8996" width="2.88671875" style="100" customWidth="1"/>
    <col min="8997" max="9216" width="9.109375" style="100"/>
    <col min="9217" max="9217" width="3.88671875" style="100" customWidth="1"/>
    <col min="9218" max="9221" width="8.33203125" style="100" customWidth="1"/>
    <col min="9222" max="9222" width="2.88671875" style="100" customWidth="1"/>
    <col min="9223" max="9227" width="6.44140625" style="100" customWidth="1"/>
    <col min="9228" max="9229" width="8.44140625" style="100" customWidth="1"/>
    <col min="9230" max="9230" width="9.5546875" style="100" customWidth="1"/>
    <col min="9231" max="9231" width="7.5546875" style="100" customWidth="1"/>
    <col min="9232" max="9232" width="2.88671875" style="100" customWidth="1"/>
    <col min="9233" max="9237" width="6.44140625" style="100" customWidth="1"/>
    <col min="9238" max="9239" width="8.44140625" style="100" customWidth="1"/>
    <col min="9240" max="9240" width="9.5546875" style="100" customWidth="1"/>
    <col min="9241" max="9241" width="7.5546875" style="100" customWidth="1"/>
    <col min="9242" max="9242" width="2.88671875" style="100" customWidth="1"/>
    <col min="9243" max="9247" width="6.44140625" style="100" customWidth="1"/>
    <col min="9248" max="9249" width="8.44140625" style="100" customWidth="1"/>
    <col min="9250" max="9250" width="9.5546875" style="100" customWidth="1"/>
    <col min="9251" max="9251" width="7.5546875" style="100" customWidth="1"/>
    <col min="9252" max="9252" width="2.88671875" style="100" customWidth="1"/>
    <col min="9253" max="9472" width="9.109375" style="100"/>
    <col min="9473" max="9473" width="3.88671875" style="100" customWidth="1"/>
    <col min="9474" max="9477" width="8.33203125" style="100" customWidth="1"/>
    <col min="9478" max="9478" width="2.88671875" style="100" customWidth="1"/>
    <col min="9479" max="9483" width="6.44140625" style="100" customWidth="1"/>
    <col min="9484" max="9485" width="8.44140625" style="100" customWidth="1"/>
    <col min="9486" max="9486" width="9.5546875" style="100" customWidth="1"/>
    <col min="9487" max="9487" width="7.5546875" style="100" customWidth="1"/>
    <col min="9488" max="9488" width="2.88671875" style="100" customWidth="1"/>
    <col min="9489" max="9493" width="6.44140625" style="100" customWidth="1"/>
    <col min="9494" max="9495" width="8.44140625" style="100" customWidth="1"/>
    <col min="9496" max="9496" width="9.5546875" style="100" customWidth="1"/>
    <col min="9497" max="9497" width="7.5546875" style="100" customWidth="1"/>
    <col min="9498" max="9498" width="2.88671875" style="100" customWidth="1"/>
    <col min="9499" max="9503" width="6.44140625" style="100" customWidth="1"/>
    <col min="9504" max="9505" width="8.44140625" style="100" customWidth="1"/>
    <col min="9506" max="9506" width="9.5546875" style="100" customWidth="1"/>
    <col min="9507" max="9507" width="7.5546875" style="100" customWidth="1"/>
    <col min="9508" max="9508" width="2.88671875" style="100" customWidth="1"/>
    <col min="9509" max="9728" width="9.109375" style="100"/>
    <col min="9729" max="9729" width="3.88671875" style="100" customWidth="1"/>
    <col min="9730" max="9733" width="8.33203125" style="100" customWidth="1"/>
    <col min="9734" max="9734" width="2.88671875" style="100" customWidth="1"/>
    <col min="9735" max="9739" width="6.44140625" style="100" customWidth="1"/>
    <col min="9740" max="9741" width="8.44140625" style="100" customWidth="1"/>
    <col min="9742" max="9742" width="9.5546875" style="100" customWidth="1"/>
    <col min="9743" max="9743" width="7.5546875" style="100" customWidth="1"/>
    <col min="9744" max="9744" width="2.88671875" style="100" customWidth="1"/>
    <col min="9745" max="9749" width="6.44140625" style="100" customWidth="1"/>
    <col min="9750" max="9751" width="8.44140625" style="100" customWidth="1"/>
    <col min="9752" max="9752" width="9.5546875" style="100" customWidth="1"/>
    <col min="9753" max="9753" width="7.5546875" style="100" customWidth="1"/>
    <col min="9754" max="9754" width="2.88671875" style="100" customWidth="1"/>
    <col min="9755" max="9759" width="6.44140625" style="100" customWidth="1"/>
    <col min="9760" max="9761" width="8.44140625" style="100" customWidth="1"/>
    <col min="9762" max="9762" width="9.5546875" style="100" customWidth="1"/>
    <col min="9763" max="9763" width="7.5546875" style="100" customWidth="1"/>
    <col min="9764" max="9764" width="2.88671875" style="100" customWidth="1"/>
    <col min="9765" max="9984" width="9.109375" style="100"/>
    <col min="9985" max="9985" width="3.88671875" style="100" customWidth="1"/>
    <col min="9986" max="9989" width="8.33203125" style="100" customWidth="1"/>
    <col min="9990" max="9990" width="2.88671875" style="100" customWidth="1"/>
    <col min="9991" max="9995" width="6.44140625" style="100" customWidth="1"/>
    <col min="9996" max="9997" width="8.44140625" style="100" customWidth="1"/>
    <col min="9998" max="9998" width="9.5546875" style="100" customWidth="1"/>
    <col min="9999" max="9999" width="7.5546875" style="100" customWidth="1"/>
    <col min="10000" max="10000" width="2.88671875" style="100" customWidth="1"/>
    <col min="10001" max="10005" width="6.44140625" style="100" customWidth="1"/>
    <col min="10006" max="10007" width="8.44140625" style="100" customWidth="1"/>
    <col min="10008" max="10008" width="9.5546875" style="100" customWidth="1"/>
    <col min="10009" max="10009" width="7.5546875" style="100" customWidth="1"/>
    <col min="10010" max="10010" width="2.88671875" style="100" customWidth="1"/>
    <col min="10011" max="10015" width="6.44140625" style="100" customWidth="1"/>
    <col min="10016" max="10017" width="8.44140625" style="100" customWidth="1"/>
    <col min="10018" max="10018" width="9.5546875" style="100" customWidth="1"/>
    <col min="10019" max="10019" width="7.5546875" style="100" customWidth="1"/>
    <col min="10020" max="10020" width="2.88671875" style="100" customWidth="1"/>
    <col min="10021" max="10240" width="9.109375" style="100"/>
    <col min="10241" max="10241" width="3.88671875" style="100" customWidth="1"/>
    <col min="10242" max="10245" width="8.33203125" style="100" customWidth="1"/>
    <col min="10246" max="10246" width="2.88671875" style="100" customWidth="1"/>
    <col min="10247" max="10251" width="6.44140625" style="100" customWidth="1"/>
    <col min="10252" max="10253" width="8.44140625" style="100" customWidth="1"/>
    <col min="10254" max="10254" width="9.5546875" style="100" customWidth="1"/>
    <col min="10255" max="10255" width="7.5546875" style="100" customWidth="1"/>
    <col min="10256" max="10256" width="2.88671875" style="100" customWidth="1"/>
    <col min="10257" max="10261" width="6.44140625" style="100" customWidth="1"/>
    <col min="10262" max="10263" width="8.44140625" style="100" customWidth="1"/>
    <col min="10264" max="10264" width="9.5546875" style="100" customWidth="1"/>
    <col min="10265" max="10265" width="7.5546875" style="100" customWidth="1"/>
    <col min="10266" max="10266" width="2.88671875" style="100" customWidth="1"/>
    <col min="10267" max="10271" width="6.44140625" style="100" customWidth="1"/>
    <col min="10272" max="10273" width="8.44140625" style="100" customWidth="1"/>
    <col min="10274" max="10274" width="9.5546875" style="100" customWidth="1"/>
    <col min="10275" max="10275" width="7.5546875" style="100" customWidth="1"/>
    <col min="10276" max="10276" width="2.88671875" style="100" customWidth="1"/>
    <col min="10277" max="10496" width="9.109375" style="100"/>
    <col min="10497" max="10497" width="3.88671875" style="100" customWidth="1"/>
    <col min="10498" max="10501" width="8.33203125" style="100" customWidth="1"/>
    <col min="10502" max="10502" width="2.88671875" style="100" customWidth="1"/>
    <col min="10503" max="10507" width="6.44140625" style="100" customWidth="1"/>
    <col min="10508" max="10509" width="8.44140625" style="100" customWidth="1"/>
    <col min="10510" max="10510" width="9.5546875" style="100" customWidth="1"/>
    <col min="10511" max="10511" width="7.5546875" style="100" customWidth="1"/>
    <col min="10512" max="10512" width="2.88671875" style="100" customWidth="1"/>
    <col min="10513" max="10517" width="6.44140625" style="100" customWidth="1"/>
    <col min="10518" max="10519" width="8.44140625" style="100" customWidth="1"/>
    <col min="10520" max="10520" width="9.5546875" style="100" customWidth="1"/>
    <col min="10521" max="10521" width="7.5546875" style="100" customWidth="1"/>
    <col min="10522" max="10522" width="2.88671875" style="100" customWidth="1"/>
    <col min="10523" max="10527" width="6.44140625" style="100" customWidth="1"/>
    <col min="10528" max="10529" width="8.44140625" style="100" customWidth="1"/>
    <col min="10530" max="10530" width="9.5546875" style="100" customWidth="1"/>
    <col min="10531" max="10531" width="7.5546875" style="100" customWidth="1"/>
    <col min="10532" max="10532" width="2.88671875" style="100" customWidth="1"/>
    <col min="10533" max="10752" width="9.109375" style="100"/>
    <col min="10753" max="10753" width="3.88671875" style="100" customWidth="1"/>
    <col min="10754" max="10757" width="8.33203125" style="100" customWidth="1"/>
    <col min="10758" max="10758" width="2.88671875" style="100" customWidth="1"/>
    <col min="10759" max="10763" width="6.44140625" style="100" customWidth="1"/>
    <col min="10764" max="10765" width="8.44140625" style="100" customWidth="1"/>
    <col min="10766" max="10766" width="9.5546875" style="100" customWidth="1"/>
    <col min="10767" max="10767" width="7.5546875" style="100" customWidth="1"/>
    <col min="10768" max="10768" width="2.88671875" style="100" customWidth="1"/>
    <col min="10769" max="10773" width="6.44140625" style="100" customWidth="1"/>
    <col min="10774" max="10775" width="8.44140625" style="100" customWidth="1"/>
    <col min="10776" max="10776" width="9.5546875" style="100" customWidth="1"/>
    <col min="10777" max="10777" width="7.5546875" style="100" customWidth="1"/>
    <col min="10778" max="10778" width="2.88671875" style="100" customWidth="1"/>
    <col min="10779" max="10783" width="6.44140625" style="100" customWidth="1"/>
    <col min="10784" max="10785" width="8.44140625" style="100" customWidth="1"/>
    <col min="10786" max="10786" width="9.5546875" style="100" customWidth="1"/>
    <col min="10787" max="10787" width="7.5546875" style="100" customWidth="1"/>
    <col min="10788" max="10788" width="2.88671875" style="100" customWidth="1"/>
    <col min="10789" max="11008" width="9.109375" style="100"/>
    <col min="11009" max="11009" width="3.88671875" style="100" customWidth="1"/>
    <col min="11010" max="11013" width="8.33203125" style="100" customWidth="1"/>
    <col min="11014" max="11014" width="2.88671875" style="100" customWidth="1"/>
    <col min="11015" max="11019" width="6.44140625" style="100" customWidth="1"/>
    <col min="11020" max="11021" width="8.44140625" style="100" customWidth="1"/>
    <col min="11022" max="11022" width="9.5546875" style="100" customWidth="1"/>
    <col min="11023" max="11023" width="7.5546875" style="100" customWidth="1"/>
    <col min="11024" max="11024" width="2.88671875" style="100" customWidth="1"/>
    <col min="11025" max="11029" width="6.44140625" style="100" customWidth="1"/>
    <col min="11030" max="11031" width="8.44140625" style="100" customWidth="1"/>
    <col min="11032" max="11032" width="9.5546875" style="100" customWidth="1"/>
    <col min="11033" max="11033" width="7.5546875" style="100" customWidth="1"/>
    <col min="11034" max="11034" width="2.88671875" style="100" customWidth="1"/>
    <col min="11035" max="11039" width="6.44140625" style="100" customWidth="1"/>
    <col min="11040" max="11041" width="8.44140625" style="100" customWidth="1"/>
    <col min="11042" max="11042" width="9.5546875" style="100" customWidth="1"/>
    <col min="11043" max="11043" width="7.5546875" style="100" customWidth="1"/>
    <col min="11044" max="11044" width="2.88671875" style="100" customWidth="1"/>
    <col min="11045" max="11264" width="9.109375" style="100"/>
    <col min="11265" max="11265" width="3.88671875" style="100" customWidth="1"/>
    <col min="11266" max="11269" width="8.33203125" style="100" customWidth="1"/>
    <col min="11270" max="11270" width="2.88671875" style="100" customWidth="1"/>
    <col min="11271" max="11275" width="6.44140625" style="100" customWidth="1"/>
    <col min="11276" max="11277" width="8.44140625" style="100" customWidth="1"/>
    <col min="11278" max="11278" width="9.5546875" style="100" customWidth="1"/>
    <col min="11279" max="11279" width="7.5546875" style="100" customWidth="1"/>
    <col min="11280" max="11280" width="2.88671875" style="100" customWidth="1"/>
    <col min="11281" max="11285" width="6.44140625" style="100" customWidth="1"/>
    <col min="11286" max="11287" width="8.44140625" style="100" customWidth="1"/>
    <col min="11288" max="11288" width="9.5546875" style="100" customWidth="1"/>
    <col min="11289" max="11289" width="7.5546875" style="100" customWidth="1"/>
    <col min="11290" max="11290" width="2.88671875" style="100" customWidth="1"/>
    <col min="11291" max="11295" width="6.44140625" style="100" customWidth="1"/>
    <col min="11296" max="11297" width="8.44140625" style="100" customWidth="1"/>
    <col min="11298" max="11298" width="9.5546875" style="100" customWidth="1"/>
    <col min="11299" max="11299" width="7.5546875" style="100" customWidth="1"/>
    <col min="11300" max="11300" width="2.88671875" style="100" customWidth="1"/>
    <col min="11301" max="11520" width="9.109375" style="100"/>
    <col min="11521" max="11521" width="3.88671875" style="100" customWidth="1"/>
    <col min="11522" max="11525" width="8.33203125" style="100" customWidth="1"/>
    <col min="11526" max="11526" width="2.88671875" style="100" customWidth="1"/>
    <col min="11527" max="11531" width="6.44140625" style="100" customWidth="1"/>
    <col min="11532" max="11533" width="8.44140625" style="100" customWidth="1"/>
    <col min="11534" max="11534" width="9.5546875" style="100" customWidth="1"/>
    <col min="11535" max="11535" width="7.5546875" style="100" customWidth="1"/>
    <col min="11536" max="11536" width="2.88671875" style="100" customWidth="1"/>
    <col min="11537" max="11541" width="6.44140625" style="100" customWidth="1"/>
    <col min="11542" max="11543" width="8.44140625" style="100" customWidth="1"/>
    <col min="11544" max="11544" width="9.5546875" style="100" customWidth="1"/>
    <col min="11545" max="11545" width="7.5546875" style="100" customWidth="1"/>
    <col min="11546" max="11546" width="2.88671875" style="100" customWidth="1"/>
    <col min="11547" max="11551" width="6.44140625" style="100" customWidth="1"/>
    <col min="11552" max="11553" width="8.44140625" style="100" customWidth="1"/>
    <col min="11554" max="11554" width="9.5546875" style="100" customWidth="1"/>
    <col min="11555" max="11555" width="7.5546875" style="100" customWidth="1"/>
    <col min="11556" max="11556" width="2.88671875" style="100" customWidth="1"/>
    <col min="11557" max="11776" width="9.109375" style="100"/>
    <col min="11777" max="11777" width="3.88671875" style="100" customWidth="1"/>
    <col min="11778" max="11781" width="8.33203125" style="100" customWidth="1"/>
    <col min="11782" max="11782" width="2.88671875" style="100" customWidth="1"/>
    <col min="11783" max="11787" width="6.44140625" style="100" customWidth="1"/>
    <col min="11788" max="11789" width="8.44140625" style="100" customWidth="1"/>
    <col min="11790" max="11790" width="9.5546875" style="100" customWidth="1"/>
    <col min="11791" max="11791" width="7.5546875" style="100" customWidth="1"/>
    <col min="11792" max="11792" width="2.88671875" style="100" customWidth="1"/>
    <col min="11793" max="11797" width="6.44140625" style="100" customWidth="1"/>
    <col min="11798" max="11799" width="8.44140625" style="100" customWidth="1"/>
    <col min="11800" max="11800" width="9.5546875" style="100" customWidth="1"/>
    <col min="11801" max="11801" width="7.5546875" style="100" customWidth="1"/>
    <col min="11802" max="11802" width="2.88671875" style="100" customWidth="1"/>
    <col min="11803" max="11807" width="6.44140625" style="100" customWidth="1"/>
    <col min="11808" max="11809" width="8.44140625" style="100" customWidth="1"/>
    <col min="11810" max="11810" width="9.5546875" style="100" customWidth="1"/>
    <col min="11811" max="11811" width="7.5546875" style="100" customWidth="1"/>
    <col min="11812" max="11812" width="2.88671875" style="100" customWidth="1"/>
    <col min="11813" max="12032" width="9.109375" style="100"/>
    <col min="12033" max="12033" width="3.88671875" style="100" customWidth="1"/>
    <col min="12034" max="12037" width="8.33203125" style="100" customWidth="1"/>
    <col min="12038" max="12038" width="2.88671875" style="100" customWidth="1"/>
    <col min="12039" max="12043" width="6.44140625" style="100" customWidth="1"/>
    <col min="12044" max="12045" width="8.44140625" style="100" customWidth="1"/>
    <col min="12046" max="12046" width="9.5546875" style="100" customWidth="1"/>
    <col min="12047" max="12047" width="7.5546875" style="100" customWidth="1"/>
    <col min="12048" max="12048" width="2.88671875" style="100" customWidth="1"/>
    <col min="12049" max="12053" width="6.44140625" style="100" customWidth="1"/>
    <col min="12054" max="12055" width="8.44140625" style="100" customWidth="1"/>
    <col min="12056" max="12056" width="9.5546875" style="100" customWidth="1"/>
    <col min="12057" max="12057" width="7.5546875" style="100" customWidth="1"/>
    <col min="12058" max="12058" width="2.88671875" style="100" customWidth="1"/>
    <col min="12059" max="12063" width="6.44140625" style="100" customWidth="1"/>
    <col min="12064" max="12065" width="8.44140625" style="100" customWidth="1"/>
    <col min="12066" max="12066" width="9.5546875" style="100" customWidth="1"/>
    <col min="12067" max="12067" width="7.5546875" style="100" customWidth="1"/>
    <col min="12068" max="12068" width="2.88671875" style="100" customWidth="1"/>
    <col min="12069" max="12288" width="9.109375" style="100"/>
    <col min="12289" max="12289" width="3.88671875" style="100" customWidth="1"/>
    <col min="12290" max="12293" width="8.33203125" style="100" customWidth="1"/>
    <col min="12294" max="12294" width="2.88671875" style="100" customWidth="1"/>
    <col min="12295" max="12299" width="6.44140625" style="100" customWidth="1"/>
    <col min="12300" max="12301" width="8.44140625" style="100" customWidth="1"/>
    <col min="12302" max="12302" width="9.5546875" style="100" customWidth="1"/>
    <col min="12303" max="12303" width="7.5546875" style="100" customWidth="1"/>
    <col min="12304" max="12304" width="2.88671875" style="100" customWidth="1"/>
    <col min="12305" max="12309" width="6.44140625" style="100" customWidth="1"/>
    <col min="12310" max="12311" width="8.44140625" style="100" customWidth="1"/>
    <col min="12312" max="12312" width="9.5546875" style="100" customWidth="1"/>
    <col min="12313" max="12313" width="7.5546875" style="100" customWidth="1"/>
    <col min="12314" max="12314" width="2.88671875" style="100" customWidth="1"/>
    <col min="12315" max="12319" width="6.44140625" style="100" customWidth="1"/>
    <col min="12320" max="12321" width="8.44140625" style="100" customWidth="1"/>
    <col min="12322" max="12322" width="9.5546875" style="100" customWidth="1"/>
    <col min="12323" max="12323" width="7.5546875" style="100" customWidth="1"/>
    <col min="12324" max="12324" width="2.88671875" style="100" customWidth="1"/>
    <col min="12325" max="12544" width="9.109375" style="100"/>
    <col min="12545" max="12545" width="3.88671875" style="100" customWidth="1"/>
    <col min="12546" max="12549" width="8.33203125" style="100" customWidth="1"/>
    <col min="12550" max="12550" width="2.88671875" style="100" customWidth="1"/>
    <col min="12551" max="12555" width="6.44140625" style="100" customWidth="1"/>
    <col min="12556" max="12557" width="8.44140625" style="100" customWidth="1"/>
    <col min="12558" max="12558" width="9.5546875" style="100" customWidth="1"/>
    <col min="12559" max="12559" width="7.5546875" style="100" customWidth="1"/>
    <col min="12560" max="12560" width="2.88671875" style="100" customWidth="1"/>
    <col min="12561" max="12565" width="6.44140625" style="100" customWidth="1"/>
    <col min="12566" max="12567" width="8.44140625" style="100" customWidth="1"/>
    <col min="12568" max="12568" width="9.5546875" style="100" customWidth="1"/>
    <col min="12569" max="12569" width="7.5546875" style="100" customWidth="1"/>
    <col min="12570" max="12570" width="2.88671875" style="100" customWidth="1"/>
    <col min="12571" max="12575" width="6.44140625" style="100" customWidth="1"/>
    <col min="12576" max="12577" width="8.44140625" style="100" customWidth="1"/>
    <col min="12578" max="12578" width="9.5546875" style="100" customWidth="1"/>
    <col min="12579" max="12579" width="7.5546875" style="100" customWidth="1"/>
    <col min="12580" max="12580" width="2.88671875" style="100" customWidth="1"/>
    <col min="12581" max="12800" width="9.109375" style="100"/>
    <col min="12801" max="12801" width="3.88671875" style="100" customWidth="1"/>
    <col min="12802" max="12805" width="8.33203125" style="100" customWidth="1"/>
    <col min="12806" max="12806" width="2.88671875" style="100" customWidth="1"/>
    <col min="12807" max="12811" width="6.44140625" style="100" customWidth="1"/>
    <col min="12812" max="12813" width="8.44140625" style="100" customWidth="1"/>
    <col min="12814" max="12814" width="9.5546875" style="100" customWidth="1"/>
    <col min="12815" max="12815" width="7.5546875" style="100" customWidth="1"/>
    <col min="12816" max="12816" width="2.88671875" style="100" customWidth="1"/>
    <col min="12817" max="12821" width="6.44140625" style="100" customWidth="1"/>
    <col min="12822" max="12823" width="8.44140625" style="100" customWidth="1"/>
    <col min="12824" max="12824" width="9.5546875" style="100" customWidth="1"/>
    <col min="12825" max="12825" width="7.5546875" style="100" customWidth="1"/>
    <col min="12826" max="12826" width="2.88671875" style="100" customWidth="1"/>
    <col min="12827" max="12831" width="6.44140625" style="100" customWidth="1"/>
    <col min="12832" max="12833" width="8.44140625" style="100" customWidth="1"/>
    <col min="12834" max="12834" width="9.5546875" style="100" customWidth="1"/>
    <col min="12835" max="12835" width="7.5546875" style="100" customWidth="1"/>
    <col min="12836" max="12836" width="2.88671875" style="100" customWidth="1"/>
    <col min="12837" max="13056" width="9.109375" style="100"/>
    <col min="13057" max="13057" width="3.88671875" style="100" customWidth="1"/>
    <col min="13058" max="13061" width="8.33203125" style="100" customWidth="1"/>
    <col min="13062" max="13062" width="2.88671875" style="100" customWidth="1"/>
    <col min="13063" max="13067" width="6.44140625" style="100" customWidth="1"/>
    <col min="13068" max="13069" width="8.44140625" style="100" customWidth="1"/>
    <col min="13070" max="13070" width="9.5546875" style="100" customWidth="1"/>
    <col min="13071" max="13071" width="7.5546875" style="100" customWidth="1"/>
    <col min="13072" max="13072" width="2.88671875" style="100" customWidth="1"/>
    <col min="13073" max="13077" width="6.44140625" style="100" customWidth="1"/>
    <col min="13078" max="13079" width="8.44140625" style="100" customWidth="1"/>
    <col min="13080" max="13080" width="9.5546875" style="100" customWidth="1"/>
    <col min="13081" max="13081" width="7.5546875" style="100" customWidth="1"/>
    <col min="13082" max="13082" width="2.88671875" style="100" customWidth="1"/>
    <col min="13083" max="13087" width="6.44140625" style="100" customWidth="1"/>
    <col min="13088" max="13089" width="8.44140625" style="100" customWidth="1"/>
    <col min="13090" max="13090" width="9.5546875" style="100" customWidth="1"/>
    <col min="13091" max="13091" width="7.5546875" style="100" customWidth="1"/>
    <col min="13092" max="13092" width="2.88671875" style="100" customWidth="1"/>
    <col min="13093" max="13312" width="9.109375" style="100"/>
    <col min="13313" max="13313" width="3.88671875" style="100" customWidth="1"/>
    <col min="13314" max="13317" width="8.33203125" style="100" customWidth="1"/>
    <col min="13318" max="13318" width="2.88671875" style="100" customWidth="1"/>
    <col min="13319" max="13323" width="6.44140625" style="100" customWidth="1"/>
    <col min="13324" max="13325" width="8.44140625" style="100" customWidth="1"/>
    <col min="13326" max="13326" width="9.5546875" style="100" customWidth="1"/>
    <col min="13327" max="13327" width="7.5546875" style="100" customWidth="1"/>
    <col min="13328" max="13328" width="2.88671875" style="100" customWidth="1"/>
    <col min="13329" max="13333" width="6.44140625" style="100" customWidth="1"/>
    <col min="13334" max="13335" width="8.44140625" style="100" customWidth="1"/>
    <col min="13336" max="13336" width="9.5546875" style="100" customWidth="1"/>
    <col min="13337" max="13337" width="7.5546875" style="100" customWidth="1"/>
    <col min="13338" max="13338" width="2.88671875" style="100" customWidth="1"/>
    <col min="13339" max="13343" width="6.44140625" style="100" customWidth="1"/>
    <col min="13344" max="13345" width="8.44140625" style="100" customWidth="1"/>
    <col min="13346" max="13346" width="9.5546875" style="100" customWidth="1"/>
    <col min="13347" max="13347" width="7.5546875" style="100" customWidth="1"/>
    <col min="13348" max="13348" width="2.88671875" style="100" customWidth="1"/>
    <col min="13349" max="13568" width="9.109375" style="100"/>
    <col min="13569" max="13569" width="3.88671875" style="100" customWidth="1"/>
    <col min="13570" max="13573" width="8.33203125" style="100" customWidth="1"/>
    <col min="13574" max="13574" width="2.88671875" style="100" customWidth="1"/>
    <col min="13575" max="13579" width="6.44140625" style="100" customWidth="1"/>
    <col min="13580" max="13581" width="8.44140625" style="100" customWidth="1"/>
    <col min="13582" max="13582" width="9.5546875" style="100" customWidth="1"/>
    <col min="13583" max="13583" width="7.5546875" style="100" customWidth="1"/>
    <col min="13584" max="13584" width="2.88671875" style="100" customWidth="1"/>
    <col min="13585" max="13589" width="6.44140625" style="100" customWidth="1"/>
    <col min="13590" max="13591" width="8.44140625" style="100" customWidth="1"/>
    <col min="13592" max="13592" width="9.5546875" style="100" customWidth="1"/>
    <col min="13593" max="13593" width="7.5546875" style="100" customWidth="1"/>
    <col min="13594" max="13594" width="2.88671875" style="100" customWidth="1"/>
    <col min="13595" max="13599" width="6.44140625" style="100" customWidth="1"/>
    <col min="13600" max="13601" width="8.44140625" style="100" customWidth="1"/>
    <col min="13602" max="13602" width="9.5546875" style="100" customWidth="1"/>
    <col min="13603" max="13603" width="7.5546875" style="100" customWidth="1"/>
    <col min="13604" max="13604" width="2.88671875" style="100" customWidth="1"/>
    <col min="13605" max="13824" width="9.109375" style="100"/>
    <col min="13825" max="13825" width="3.88671875" style="100" customWidth="1"/>
    <col min="13826" max="13829" width="8.33203125" style="100" customWidth="1"/>
    <col min="13830" max="13830" width="2.88671875" style="100" customWidth="1"/>
    <col min="13831" max="13835" width="6.44140625" style="100" customWidth="1"/>
    <col min="13836" max="13837" width="8.44140625" style="100" customWidth="1"/>
    <col min="13838" max="13838" width="9.5546875" style="100" customWidth="1"/>
    <col min="13839" max="13839" width="7.5546875" style="100" customWidth="1"/>
    <col min="13840" max="13840" width="2.88671875" style="100" customWidth="1"/>
    <col min="13841" max="13845" width="6.44140625" style="100" customWidth="1"/>
    <col min="13846" max="13847" width="8.44140625" style="100" customWidth="1"/>
    <col min="13848" max="13848" width="9.5546875" style="100" customWidth="1"/>
    <col min="13849" max="13849" width="7.5546875" style="100" customWidth="1"/>
    <col min="13850" max="13850" width="2.88671875" style="100" customWidth="1"/>
    <col min="13851" max="13855" width="6.44140625" style="100" customWidth="1"/>
    <col min="13856" max="13857" width="8.44140625" style="100" customWidth="1"/>
    <col min="13858" max="13858" width="9.5546875" style="100" customWidth="1"/>
    <col min="13859" max="13859" width="7.5546875" style="100" customWidth="1"/>
    <col min="13860" max="13860" width="2.88671875" style="100" customWidth="1"/>
    <col min="13861" max="14080" width="9.109375" style="100"/>
    <col min="14081" max="14081" width="3.88671875" style="100" customWidth="1"/>
    <col min="14082" max="14085" width="8.33203125" style="100" customWidth="1"/>
    <col min="14086" max="14086" width="2.88671875" style="100" customWidth="1"/>
    <col min="14087" max="14091" width="6.44140625" style="100" customWidth="1"/>
    <col min="14092" max="14093" width="8.44140625" style="100" customWidth="1"/>
    <col min="14094" max="14094" width="9.5546875" style="100" customWidth="1"/>
    <col min="14095" max="14095" width="7.5546875" style="100" customWidth="1"/>
    <col min="14096" max="14096" width="2.88671875" style="100" customWidth="1"/>
    <col min="14097" max="14101" width="6.44140625" style="100" customWidth="1"/>
    <col min="14102" max="14103" width="8.44140625" style="100" customWidth="1"/>
    <col min="14104" max="14104" width="9.5546875" style="100" customWidth="1"/>
    <col min="14105" max="14105" width="7.5546875" style="100" customWidth="1"/>
    <col min="14106" max="14106" width="2.88671875" style="100" customWidth="1"/>
    <col min="14107" max="14111" width="6.44140625" style="100" customWidth="1"/>
    <col min="14112" max="14113" width="8.44140625" style="100" customWidth="1"/>
    <col min="14114" max="14114" width="9.5546875" style="100" customWidth="1"/>
    <col min="14115" max="14115" width="7.5546875" style="100" customWidth="1"/>
    <col min="14116" max="14116" width="2.88671875" style="100" customWidth="1"/>
    <col min="14117" max="14336" width="9.109375" style="100"/>
    <col min="14337" max="14337" width="3.88671875" style="100" customWidth="1"/>
    <col min="14338" max="14341" width="8.33203125" style="100" customWidth="1"/>
    <col min="14342" max="14342" width="2.88671875" style="100" customWidth="1"/>
    <col min="14343" max="14347" width="6.44140625" style="100" customWidth="1"/>
    <col min="14348" max="14349" width="8.44140625" style="100" customWidth="1"/>
    <col min="14350" max="14350" width="9.5546875" style="100" customWidth="1"/>
    <col min="14351" max="14351" width="7.5546875" style="100" customWidth="1"/>
    <col min="14352" max="14352" width="2.88671875" style="100" customWidth="1"/>
    <col min="14353" max="14357" width="6.44140625" style="100" customWidth="1"/>
    <col min="14358" max="14359" width="8.44140625" style="100" customWidth="1"/>
    <col min="14360" max="14360" width="9.5546875" style="100" customWidth="1"/>
    <col min="14361" max="14361" width="7.5546875" style="100" customWidth="1"/>
    <col min="14362" max="14362" width="2.88671875" style="100" customWidth="1"/>
    <col min="14363" max="14367" width="6.44140625" style="100" customWidth="1"/>
    <col min="14368" max="14369" width="8.44140625" style="100" customWidth="1"/>
    <col min="14370" max="14370" width="9.5546875" style="100" customWidth="1"/>
    <col min="14371" max="14371" width="7.5546875" style="100" customWidth="1"/>
    <col min="14372" max="14372" width="2.88671875" style="100" customWidth="1"/>
    <col min="14373" max="14592" width="9.109375" style="100"/>
    <col min="14593" max="14593" width="3.88671875" style="100" customWidth="1"/>
    <col min="14594" max="14597" width="8.33203125" style="100" customWidth="1"/>
    <col min="14598" max="14598" width="2.88671875" style="100" customWidth="1"/>
    <col min="14599" max="14603" width="6.44140625" style="100" customWidth="1"/>
    <col min="14604" max="14605" width="8.44140625" style="100" customWidth="1"/>
    <col min="14606" max="14606" width="9.5546875" style="100" customWidth="1"/>
    <col min="14607" max="14607" width="7.5546875" style="100" customWidth="1"/>
    <col min="14608" max="14608" width="2.88671875" style="100" customWidth="1"/>
    <col min="14609" max="14613" width="6.44140625" style="100" customWidth="1"/>
    <col min="14614" max="14615" width="8.44140625" style="100" customWidth="1"/>
    <col min="14616" max="14616" width="9.5546875" style="100" customWidth="1"/>
    <col min="14617" max="14617" width="7.5546875" style="100" customWidth="1"/>
    <col min="14618" max="14618" width="2.88671875" style="100" customWidth="1"/>
    <col min="14619" max="14623" width="6.44140625" style="100" customWidth="1"/>
    <col min="14624" max="14625" width="8.44140625" style="100" customWidth="1"/>
    <col min="14626" max="14626" width="9.5546875" style="100" customWidth="1"/>
    <col min="14627" max="14627" width="7.5546875" style="100" customWidth="1"/>
    <col min="14628" max="14628" width="2.88671875" style="100" customWidth="1"/>
    <col min="14629" max="14848" width="9.109375" style="100"/>
    <col min="14849" max="14849" width="3.88671875" style="100" customWidth="1"/>
    <col min="14850" max="14853" width="8.33203125" style="100" customWidth="1"/>
    <col min="14854" max="14854" width="2.88671875" style="100" customWidth="1"/>
    <col min="14855" max="14859" width="6.44140625" style="100" customWidth="1"/>
    <col min="14860" max="14861" width="8.44140625" style="100" customWidth="1"/>
    <col min="14862" max="14862" width="9.5546875" style="100" customWidth="1"/>
    <col min="14863" max="14863" width="7.5546875" style="100" customWidth="1"/>
    <col min="14864" max="14864" width="2.88671875" style="100" customWidth="1"/>
    <col min="14865" max="14869" width="6.44140625" style="100" customWidth="1"/>
    <col min="14870" max="14871" width="8.44140625" style="100" customWidth="1"/>
    <col min="14872" max="14872" width="9.5546875" style="100" customWidth="1"/>
    <col min="14873" max="14873" width="7.5546875" style="100" customWidth="1"/>
    <col min="14874" max="14874" width="2.88671875" style="100" customWidth="1"/>
    <col min="14875" max="14879" width="6.44140625" style="100" customWidth="1"/>
    <col min="14880" max="14881" width="8.44140625" style="100" customWidth="1"/>
    <col min="14882" max="14882" width="9.5546875" style="100" customWidth="1"/>
    <col min="14883" max="14883" width="7.5546875" style="100" customWidth="1"/>
    <col min="14884" max="14884" width="2.88671875" style="100" customWidth="1"/>
    <col min="14885" max="15104" width="9.109375" style="100"/>
    <col min="15105" max="15105" width="3.88671875" style="100" customWidth="1"/>
    <col min="15106" max="15109" width="8.33203125" style="100" customWidth="1"/>
    <col min="15110" max="15110" width="2.88671875" style="100" customWidth="1"/>
    <col min="15111" max="15115" width="6.44140625" style="100" customWidth="1"/>
    <col min="15116" max="15117" width="8.44140625" style="100" customWidth="1"/>
    <col min="15118" max="15118" width="9.5546875" style="100" customWidth="1"/>
    <col min="15119" max="15119" width="7.5546875" style="100" customWidth="1"/>
    <col min="15120" max="15120" width="2.88671875" style="100" customWidth="1"/>
    <col min="15121" max="15125" width="6.44140625" style="100" customWidth="1"/>
    <col min="15126" max="15127" width="8.44140625" style="100" customWidth="1"/>
    <col min="15128" max="15128" width="9.5546875" style="100" customWidth="1"/>
    <col min="15129" max="15129" width="7.5546875" style="100" customWidth="1"/>
    <col min="15130" max="15130" width="2.88671875" style="100" customWidth="1"/>
    <col min="15131" max="15135" width="6.44140625" style="100" customWidth="1"/>
    <col min="15136" max="15137" width="8.44140625" style="100" customWidth="1"/>
    <col min="15138" max="15138" width="9.5546875" style="100" customWidth="1"/>
    <col min="15139" max="15139" width="7.5546875" style="100" customWidth="1"/>
    <col min="15140" max="15140" width="2.88671875" style="100" customWidth="1"/>
    <col min="15141" max="15360" width="9.109375" style="100"/>
    <col min="15361" max="15361" width="3.88671875" style="100" customWidth="1"/>
    <col min="15362" max="15365" width="8.33203125" style="100" customWidth="1"/>
    <col min="15366" max="15366" width="2.88671875" style="100" customWidth="1"/>
    <col min="15367" max="15371" width="6.44140625" style="100" customWidth="1"/>
    <col min="15372" max="15373" width="8.44140625" style="100" customWidth="1"/>
    <col min="15374" max="15374" width="9.5546875" style="100" customWidth="1"/>
    <col min="15375" max="15375" width="7.5546875" style="100" customWidth="1"/>
    <col min="15376" max="15376" width="2.88671875" style="100" customWidth="1"/>
    <col min="15377" max="15381" width="6.44140625" style="100" customWidth="1"/>
    <col min="15382" max="15383" width="8.44140625" style="100" customWidth="1"/>
    <col min="15384" max="15384" width="9.5546875" style="100" customWidth="1"/>
    <col min="15385" max="15385" width="7.5546875" style="100" customWidth="1"/>
    <col min="15386" max="15386" width="2.88671875" style="100" customWidth="1"/>
    <col min="15387" max="15391" width="6.44140625" style="100" customWidth="1"/>
    <col min="15392" max="15393" width="8.44140625" style="100" customWidth="1"/>
    <col min="15394" max="15394" width="9.5546875" style="100" customWidth="1"/>
    <col min="15395" max="15395" width="7.5546875" style="100" customWidth="1"/>
    <col min="15396" max="15396" width="2.88671875" style="100" customWidth="1"/>
    <col min="15397" max="15616" width="9.109375" style="100"/>
    <col min="15617" max="15617" width="3.88671875" style="100" customWidth="1"/>
    <col min="15618" max="15621" width="8.33203125" style="100" customWidth="1"/>
    <col min="15622" max="15622" width="2.88671875" style="100" customWidth="1"/>
    <col min="15623" max="15627" width="6.44140625" style="100" customWidth="1"/>
    <col min="15628" max="15629" width="8.44140625" style="100" customWidth="1"/>
    <col min="15630" max="15630" width="9.5546875" style="100" customWidth="1"/>
    <col min="15631" max="15631" width="7.5546875" style="100" customWidth="1"/>
    <col min="15632" max="15632" width="2.88671875" style="100" customWidth="1"/>
    <col min="15633" max="15637" width="6.44140625" style="100" customWidth="1"/>
    <col min="15638" max="15639" width="8.44140625" style="100" customWidth="1"/>
    <col min="15640" max="15640" width="9.5546875" style="100" customWidth="1"/>
    <col min="15641" max="15641" width="7.5546875" style="100" customWidth="1"/>
    <col min="15642" max="15642" width="2.88671875" style="100" customWidth="1"/>
    <col min="15643" max="15647" width="6.44140625" style="100" customWidth="1"/>
    <col min="15648" max="15649" width="8.44140625" style="100" customWidth="1"/>
    <col min="15650" max="15650" width="9.5546875" style="100" customWidth="1"/>
    <col min="15651" max="15651" width="7.5546875" style="100" customWidth="1"/>
    <col min="15652" max="15652" width="2.88671875" style="100" customWidth="1"/>
    <col min="15653" max="15872" width="9.109375" style="100"/>
    <col min="15873" max="15873" width="3.88671875" style="100" customWidth="1"/>
    <col min="15874" max="15877" width="8.33203125" style="100" customWidth="1"/>
    <col min="15878" max="15878" width="2.88671875" style="100" customWidth="1"/>
    <col min="15879" max="15883" width="6.44140625" style="100" customWidth="1"/>
    <col min="15884" max="15885" width="8.44140625" style="100" customWidth="1"/>
    <col min="15886" max="15886" width="9.5546875" style="100" customWidth="1"/>
    <col min="15887" max="15887" width="7.5546875" style="100" customWidth="1"/>
    <col min="15888" max="15888" width="2.88671875" style="100" customWidth="1"/>
    <col min="15889" max="15893" width="6.44140625" style="100" customWidth="1"/>
    <col min="15894" max="15895" width="8.44140625" style="100" customWidth="1"/>
    <col min="15896" max="15896" width="9.5546875" style="100" customWidth="1"/>
    <col min="15897" max="15897" width="7.5546875" style="100" customWidth="1"/>
    <col min="15898" max="15898" width="2.88671875" style="100" customWidth="1"/>
    <col min="15899" max="15903" width="6.44140625" style="100" customWidth="1"/>
    <col min="15904" max="15905" width="8.44140625" style="100" customWidth="1"/>
    <col min="15906" max="15906" width="9.5546875" style="100" customWidth="1"/>
    <col min="15907" max="15907" width="7.5546875" style="100" customWidth="1"/>
    <col min="15908" max="15908" width="2.88671875" style="100" customWidth="1"/>
    <col min="15909" max="16128" width="9.109375" style="100"/>
    <col min="16129" max="16129" width="3.88671875" style="100" customWidth="1"/>
    <col min="16130" max="16133" width="8.33203125" style="100" customWidth="1"/>
    <col min="16134" max="16134" width="2.88671875" style="100" customWidth="1"/>
    <col min="16135" max="16139" width="6.44140625" style="100" customWidth="1"/>
    <col min="16140" max="16141" width="8.44140625" style="100" customWidth="1"/>
    <col min="16142" max="16142" width="9.5546875" style="100" customWidth="1"/>
    <col min="16143" max="16143" width="7.5546875" style="100" customWidth="1"/>
    <col min="16144" max="16144" width="2.88671875" style="100" customWidth="1"/>
    <col min="16145" max="16149" width="6.44140625" style="100" customWidth="1"/>
    <col min="16150" max="16151" width="8.44140625" style="100" customWidth="1"/>
    <col min="16152" max="16152" width="9.5546875" style="100" customWidth="1"/>
    <col min="16153" max="16153" width="7.5546875" style="100" customWidth="1"/>
    <col min="16154" max="16154" width="2.88671875" style="100" customWidth="1"/>
    <col min="16155" max="16159" width="6.44140625" style="100" customWidth="1"/>
    <col min="16160" max="16161" width="8.44140625" style="100" customWidth="1"/>
    <col min="16162" max="16162" width="9.5546875" style="100" customWidth="1"/>
    <col min="16163" max="16163" width="7.5546875" style="100" customWidth="1"/>
    <col min="16164" max="16164" width="2.88671875" style="100" customWidth="1"/>
    <col min="16165" max="16384" width="9.109375" style="100"/>
  </cols>
  <sheetData>
    <row r="1" spans="2:44" ht="5.25" customHeight="1"/>
    <row r="2" spans="2:44" ht="14.4">
      <c r="B2" s="22" t="s">
        <v>41</v>
      </c>
    </row>
    <row r="3" spans="2:44" ht="14.4">
      <c r="B3" s="318" t="s">
        <v>42</v>
      </c>
      <c r="C3" s="319"/>
    </row>
    <row r="4" spans="2:44" ht="9" customHeight="1" thickBot="1"/>
    <row r="5" spans="2:44" ht="16.2" customHeight="1" thickTop="1" thickBot="1">
      <c r="B5" s="101" t="s">
        <v>118</v>
      </c>
      <c r="C5" s="102"/>
      <c r="D5" s="102"/>
      <c r="E5" s="103"/>
      <c r="G5" s="320" t="s">
        <v>119</v>
      </c>
      <c r="H5" s="321"/>
      <c r="I5" s="321"/>
      <c r="J5" s="321"/>
      <c r="K5" s="321"/>
      <c r="L5" s="321"/>
      <c r="M5" s="321"/>
      <c r="N5" s="321"/>
      <c r="O5" s="322"/>
      <c r="Q5" s="320" t="s">
        <v>120</v>
      </c>
      <c r="R5" s="321"/>
      <c r="S5" s="321"/>
      <c r="T5" s="321"/>
      <c r="U5" s="321"/>
      <c r="V5" s="321"/>
      <c r="W5" s="321"/>
      <c r="X5" s="321"/>
      <c r="Y5" s="322"/>
      <c r="AA5" s="320" t="s">
        <v>121</v>
      </c>
      <c r="AB5" s="321"/>
      <c r="AC5" s="321"/>
      <c r="AD5" s="321"/>
      <c r="AE5" s="321"/>
      <c r="AF5" s="321"/>
      <c r="AG5" s="321"/>
      <c r="AH5" s="321"/>
      <c r="AI5" s="322"/>
      <c r="AR5" s="104"/>
    </row>
    <row r="6" spans="2:44" ht="11.1" customHeight="1" thickBot="1">
      <c r="B6" s="105"/>
      <c r="C6" s="36" t="s">
        <v>43</v>
      </c>
      <c r="D6" s="27"/>
      <c r="E6" s="106"/>
      <c r="G6" s="105" t="s">
        <v>43</v>
      </c>
      <c r="H6" s="27"/>
      <c r="I6" s="27"/>
      <c r="J6" s="27"/>
      <c r="K6" s="27"/>
      <c r="L6" s="27"/>
      <c r="M6" s="27"/>
      <c r="N6" s="27"/>
      <c r="O6" s="106"/>
      <c r="Q6" s="105" t="s">
        <v>43</v>
      </c>
      <c r="R6" s="27"/>
      <c r="S6" s="27"/>
      <c r="T6" s="27"/>
      <c r="U6" s="27"/>
      <c r="V6" s="27"/>
      <c r="W6" s="27"/>
      <c r="X6" s="27"/>
      <c r="Y6" s="106"/>
      <c r="AA6" s="105" t="s">
        <v>43</v>
      </c>
      <c r="AB6" s="27"/>
      <c r="AC6" s="27"/>
      <c r="AD6" s="27"/>
      <c r="AE6" s="27"/>
      <c r="AF6" s="27"/>
      <c r="AG6" s="27"/>
      <c r="AH6" s="27"/>
      <c r="AI6" s="106"/>
      <c r="AR6" s="104"/>
    </row>
    <row r="7" spans="2:44" ht="11.25" customHeight="1">
      <c r="B7" s="107" t="s">
        <v>44</v>
      </c>
      <c r="C7" s="29"/>
      <c r="D7" s="108" t="s">
        <v>219</v>
      </c>
      <c r="E7" s="109"/>
      <c r="G7" s="107" t="s">
        <v>44</v>
      </c>
      <c r="H7" s="29"/>
      <c r="I7" s="97" t="str">
        <f>D$7</f>
        <v>Sizing Screen</v>
      </c>
      <c r="J7" s="83"/>
      <c r="K7" s="110"/>
      <c r="L7" s="323" t="s">
        <v>122</v>
      </c>
      <c r="M7" s="324"/>
      <c r="N7" s="324"/>
      <c r="O7" s="325"/>
      <c r="Q7" s="107" t="s">
        <v>44</v>
      </c>
      <c r="R7" s="29"/>
      <c r="S7" s="97" t="str">
        <f>D$7</f>
        <v>Sizing Screen</v>
      </c>
      <c r="T7" s="83"/>
      <c r="U7" s="110"/>
      <c r="V7" s="323" t="s">
        <v>122</v>
      </c>
      <c r="W7" s="324"/>
      <c r="X7" s="324"/>
      <c r="Y7" s="325"/>
      <c r="AA7" s="107" t="s">
        <v>44</v>
      </c>
      <c r="AB7" s="29"/>
      <c r="AC7" s="97" t="str">
        <f>D$7</f>
        <v>Sizing Screen</v>
      </c>
      <c r="AD7" s="83"/>
      <c r="AE7" s="110"/>
      <c r="AF7" s="323" t="s">
        <v>122</v>
      </c>
      <c r="AG7" s="324"/>
      <c r="AH7" s="324"/>
      <c r="AI7" s="325"/>
      <c r="AR7" s="104"/>
    </row>
    <row r="8" spans="2:44" ht="11.25" customHeight="1">
      <c r="B8" s="111" t="s">
        <v>123</v>
      </c>
      <c r="C8" s="31"/>
      <c r="D8" s="112" t="s">
        <v>124</v>
      </c>
      <c r="E8" s="113"/>
      <c r="G8" s="111" t="s">
        <v>123</v>
      </c>
      <c r="H8" s="31"/>
      <c r="I8" s="96" t="str">
        <f>D$8</f>
        <v>one</v>
      </c>
      <c r="J8" s="31"/>
      <c r="K8" s="114"/>
      <c r="L8" s="326"/>
      <c r="M8" s="327"/>
      <c r="N8" s="327"/>
      <c r="O8" s="328"/>
      <c r="Q8" s="111" t="s">
        <v>123</v>
      </c>
      <c r="R8" s="31"/>
      <c r="S8" s="96" t="str">
        <f>D$8</f>
        <v>one</v>
      </c>
      <c r="T8" s="31"/>
      <c r="U8" s="114"/>
      <c r="V8" s="326"/>
      <c r="W8" s="327"/>
      <c r="X8" s="327"/>
      <c r="Y8" s="328"/>
      <c r="AA8" s="111" t="s">
        <v>123</v>
      </c>
      <c r="AB8" s="31"/>
      <c r="AC8" s="96" t="str">
        <f>D$8</f>
        <v>one</v>
      </c>
      <c r="AD8" s="31"/>
      <c r="AE8" s="114"/>
      <c r="AF8" s="326"/>
      <c r="AG8" s="327"/>
      <c r="AH8" s="327"/>
      <c r="AI8" s="328"/>
    </row>
    <row r="9" spans="2:44" ht="11.25" customHeight="1" thickBot="1">
      <c r="B9" s="111" t="s">
        <v>125</v>
      </c>
      <c r="C9" s="32"/>
      <c r="D9" s="115" t="s">
        <v>126</v>
      </c>
      <c r="E9" s="116"/>
      <c r="G9" s="111" t="s">
        <v>125</v>
      </c>
      <c r="H9" s="32"/>
      <c r="I9" s="96" t="str">
        <f>D$9</f>
        <v>Horizontal vibrating</v>
      </c>
      <c r="J9" s="31"/>
      <c r="K9" s="114"/>
      <c r="L9" s="326"/>
      <c r="M9" s="327"/>
      <c r="N9" s="327"/>
      <c r="O9" s="328"/>
      <c r="Q9" s="111" t="s">
        <v>125</v>
      </c>
      <c r="R9" s="32"/>
      <c r="S9" s="96" t="str">
        <f>D$9</f>
        <v>Horizontal vibrating</v>
      </c>
      <c r="T9" s="31"/>
      <c r="U9" s="114"/>
      <c r="V9" s="326"/>
      <c r="W9" s="327"/>
      <c r="X9" s="327"/>
      <c r="Y9" s="328"/>
      <c r="AA9" s="111" t="s">
        <v>125</v>
      </c>
      <c r="AB9" s="32"/>
      <c r="AC9" s="96" t="str">
        <f>D$9</f>
        <v>Horizontal vibrating</v>
      </c>
      <c r="AD9" s="31"/>
      <c r="AE9" s="114"/>
      <c r="AF9" s="326"/>
      <c r="AG9" s="327"/>
      <c r="AH9" s="327"/>
      <c r="AI9" s="328"/>
    </row>
    <row r="10" spans="2:44" ht="11.25" customHeight="1" thickBot="1">
      <c r="B10" s="111" t="s">
        <v>46</v>
      </c>
      <c r="C10" s="32"/>
      <c r="D10" s="117" t="s">
        <v>47</v>
      </c>
      <c r="E10" s="118"/>
      <c r="G10" s="111" t="s">
        <v>46</v>
      </c>
      <c r="H10" s="32"/>
      <c r="I10" s="119" t="s">
        <v>47</v>
      </c>
      <c r="J10" s="120"/>
      <c r="K10" s="121"/>
      <c r="L10" s="312" t="s">
        <v>119</v>
      </c>
      <c r="M10" s="313"/>
      <c r="N10" s="313"/>
      <c r="O10" s="314"/>
      <c r="Q10" s="111" t="s">
        <v>46</v>
      </c>
      <c r="R10" s="32"/>
      <c r="S10" s="119" t="s">
        <v>47</v>
      </c>
      <c r="T10" s="120"/>
      <c r="U10" s="121"/>
      <c r="V10" s="312" t="s">
        <v>120</v>
      </c>
      <c r="W10" s="313"/>
      <c r="X10" s="313"/>
      <c r="Y10" s="314"/>
      <c r="AA10" s="111" t="s">
        <v>46</v>
      </c>
      <c r="AB10" s="32"/>
      <c r="AC10" s="119" t="s">
        <v>47</v>
      </c>
      <c r="AD10" s="120"/>
      <c r="AE10" s="121"/>
      <c r="AF10" s="312" t="s">
        <v>121</v>
      </c>
      <c r="AG10" s="313"/>
      <c r="AH10" s="313"/>
      <c r="AI10" s="314"/>
    </row>
    <row r="11" spans="2:44" ht="11.1" customHeight="1" thickBot="1">
      <c r="B11" s="105"/>
      <c r="C11" s="36" t="s">
        <v>48</v>
      </c>
      <c r="D11" s="27"/>
      <c r="E11" s="106"/>
      <c r="G11" s="105" t="s">
        <v>48</v>
      </c>
      <c r="H11" s="27"/>
      <c r="I11" s="74"/>
      <c r="J11" s="74"/>
      <c r="K11" s="74"/>
      <c r="L11" s="38"/>
      <c r="M11" s="38"/>
      <c r="N11" s="38"/>
      <c r="O11" s="122"/>
      <c r="Q11" s="105" t="s">
        <v>48</v>
      </c>
      <c r="R11" s="27"/>
      <c r="S11" s="74"/>
      <c r="T11" s="74"/>
      <c r="U11" s="74"/>
      <c r="V11" s="38"/>
      <c r="W11" s="38"/>
      <c r="X11" s="38"/>
      <c r="Y11" s="122"/>
      <c r="AA11" s="105" t="s">
        <v>48</v>
      </c>
      <c r="AB11" s="27"/>
      <c r="AC11" s="74"/>
      <c r="AD11" s="74"/>
      <c r="AE11" s="74"/>
      <c r="AF11" s="38"/>
      <c r="AG11" s="38"/>
      <c r="AH11" s="38"/>
      <c r="AI11" s="122"/>
    </row>
    <row r="12" spans="2:44" ht="11.1" customHeight="1">
      <c r="B12" s="123" t="s">
        <v>50</v>
      </c>
      <c r="C12" s="29"/>
      <c r="D12" s="108" t="s">
        <v>51</v>
      </c>
      <c r="E12" s="109"/>
      <c r="G12" s="124" t="s">
        <v>50</v>
      </c>
      <c r="H12" s="29"/>
      <c r="I12" s="315" t="str">
        <f>D$12</f>
        <v>Sand &amp; Gravel</v>
      </c>
      <c r="J12" s="316"/>
      <c r="K12" s="317"/>
      <c r="L12" s="127" t="s">
        <v>127</v>
      </c>
      <c r="M12" s="128"/>
      <c r="N12" s="29"/>
      <c r="O12" s="129">
        <f>E$16</f>
        <v>0.85</v>
      </c>
      <c r="Q12" s="124" t="s">
        <v>50</v>
      </c>
      <c r="R12" s="29"/>
      <c r="S12" s="315" t="str">
        <f>D$12</f>
        <v>Sand &amp; Gravel</v>
      </c>
      <c r="T12" s="316"/>
      <c r="U12" s="317"/>
      <c r="V12" s="127" t="s">
        <v>127</v>
      </c>
      <c r="W12" s="128"/>
      <c r="X12" s="29"/>
      <c r="Y12" s="129">
        <f>E$16</f>
        <v>0.85</v>
      </c>
      <c r="AA12" s="124" t="s">
        <v>50</v>
      </c>
      <c r="AB12" s="29"/>
      <c r="AC12" s="315" t="str">
        <f>D$12</f>
        <v>Sand &amp; Gravel</v>
      </c>
      <c r="AD12" s="316"/>
      <c r="AE12" s="317"/>
      <c r="AF12" s="127" t="s">
        <v>127</v>
      </c>
      <c r="AG12" s="128"/>
      <c r="AH12" s="29"/>
      <c r="AI12" s="129">
        <f>E$16</f>
        <v>0.85</v>
      </c>
    </row>
    <row r="13" spans="2:44" ht="11.1" customHeight="1">
      <c r="B13" s="130" t="s">
        <v>52</v>
      </c>
      <c r="C13" s="31"/>
      <c r="D13" s="44" t="s">
        <v>53</v>
      </c>
      <c r="E13" s="131">
        <f>'Flowsheet Balance'!G32</f>
        <v>168.57426133256084</v>
      </c>
      <c r="G13" s="111" t="s">
        <v>52</v>
      </c>
      <c r="H13" s="31"/>
      <c r="I13" s="31"/>
      <c r="J13" s="44" t="s">
        <v>53</v>
      </c>
      <c r="K13" s="132">
        <f>E$13</f>
        <v>168.57426133256084</v>
      </c>
      <c r="L13" s="133" t="s">
        <v>128</v>
      </c>
      <c r="M13" s="134"/>
      <c r="N13" s="31"/>
      <c r="O13" s="135">
        <f>E$17</f>
        <v>3</v>
      </c>
      <c r="Q13" s="111" t="s">
        <v>52</v>
      </c>
      <c r="R13" s="31"/>
      <c r="S13" s="31"/>
      <c r="T13" s="44" t="s">
        <v>53</v>
      </c>
      <c r="U13" s="132">
        <f>E$13</f>
        <v>168.57426133256084</v>
      </c>
      <c r="V13" s="133" t="s">
        <v>128</v>
      </c>
      <c r="W13" s="134"/>
      <c r="X13" s="31"/>
      <c r="Y13" s="135">
        <f>E$17</f>
        <v>3</v>
      </c>
      <c r="AA13" s="111" t="s">
        <v>52</v>
      </c>
      <c r="AB13" s="31"/>
      <c r="AC13" s="31"/>
      <c r="AD13" s="44" t="s">
        <v>53</v>
      </c>
      <c r="AE13" s="132">
        <f>E$13</f>
        <v>168.57426133256084</v>
      </c>
      <c r="AF13" s="133" t="s">
        <v>128</v>
      </c>
      <c r="AG13" s="134"/>
      <c r="AH13" s="31"/>
      <c r="AI13" s="135">
        <f>E$17</f>
        <v>3</v>
      </c>
    </row>
    <row r="14" spans="2:44" ht="11.1" customHeight="1">
      <c r="B14" s="111" t="s">
        <v>56</v>
      </c>
      <c r="C14" s="31"/>
      <c r="D14" s="44" t="s">
        <v>57</v>
      </c>
      <c r="E14" s="131">
        <f>'Flowsheet Balance'!G33</f>
        <v>300</v>
      </c>
      <c r="G14" s="111" t="s">
        <v>56</v>
      </c>
      <c r="H14" s="31"/>
      <c r="I14" s="31"/>
      <c r="J14" s="44" t="s">
        <v>57</v>
      </c>
      <c r="K14" s="132">
        <f>E14</f>
        <v>300</v>
      </c>
      <c r="L14" s="136"/>
      <c r="M14" s="137"/>
      <c r="N14" s="44"/>
      <c r="O14" s="138"/>
      <c r="Q14" s="111" t="s">
        <v>56</v>
      </c>
      <c r="R14" s="31"/>
      <c r="S14" s="31"/>
      <c r="T14" s="44" t="s">
        <v>57</v>
      </c>
      <c r="U14" s="132">
        <f>K26</f>
        <v>300</v>
      </c>
      <c r="V14" s="136"/>
      <c r="W14" s="137"/>
      <c r="X14" s="44"/>
      <c r="Y14" s="138"/>
      <c r="AA14" s="111" t="s">
        <v>56</v>
      </c>
      <c r="AB14" s="31"/>
      <c r="AC14" s="31"/>
      <c r="AD14" s="44" t="s">
        <v>57</v>
      </c>
      <c r="AE14" s="132">
        <f>V65</f>
        <v>296.56305128049149</v>
      </c>
      <c r="AF14" s="136"/>
      <c r="AG14" s="137"/>
      <c r="AH14" s="44"/>
      <c r="AI14" s="138"/>
    </row>
    <row r="15" spans="2:44" ht="11.1" customHeight="1" thickBot="1">
      <c r="B15" s="139" t="s">
        <v>129</v>
      </c>
      <c r="C15" s="31"/>
      <c r="D15" s="44" t="s">
        <v>63</v>
      </c>
      <c r="E15" s="277">
        <f>1-'Flowsheet Balance'!G34</f>
        <v>0.55555555555555558</v>
      </c>
      <c r="G15" s="139" t="s">
        <v>129</v>
      </c>
      <c r="H15" s="31"/>
      <c r="I15" s="31"/>
      <c r="J15" s="44" t="s">
        <v>63</v>
      </c>
      <c r="K15" s="132">
        <f>E$15</f>
        <v>0.55555555555555558</v>
      </c>
      <c r="L15" s="140"/>
      <c r="M15" s="34"/>
      <c r="N15" s="34"/>
      <c r="O15" s="141"/>
      <c r="Q15" s="139" t="s">
        <v>129</v>
      </c>
      <c r="R15" s="31"/>
      <c r="S15" s="31"/>
      <c r="T15" s="44" t="s">
        <v>63</v>
      </c>
      <c r="U15" s="132">
        <f>E$15</f>
        <v>0.55555555555555558</v>
      </c>
      <c r="V15" s="140"/>
      <c r="W15" s="34"/>
      <c r="X15" s="34"/>
      <c r="Y15" s="141"/>
      <c r="AA15" s="139" t="s">
        <v>129</v>
      </c>
      <c r="AB15" s="31"/>
      <c r="AC15" s="31"/>
      <c r="AD15" s="44" t="s">
        <v>63</v>
      </c>
      <c r="AE15" s="132">
        <f>E$15</f>
        <v>0.55555555555555558</v>
      </c>
      <c r="AF15" s="140"/>
      <c r="AG15" s="34"/>
      <c r="AH15" s="34"/>
      <c r="AI15" s="141"/>
    </row>
    <row r="16" spans="2:44" ht="11.1" customHeight="1" thickBot="1">
      <c r="B16" s="142" t="s">
        <v>127</v>
      </c>
      <c r="C16" s="29"/>
      <c r="D16" s="29"/>
      <c r="E16" s="143">
        <v>0.85</v>
      </c>
      <c r="G16" s="105" t="s">
        <v>130</v>
      </c>
      <c r="H16" s="27"/>
      <c r="I16" s="27"/>
      <c r="J16" s="27"/>
      <c r="K16" s="27"/>
      <c r="L16" s="27"/>
      <c r="M16" s="27"/>
      <c r="N16" s="27"/>
      <c r="O16" s="106"/>
      <c r="Q16" s="105" t="s">
        <v>130</v>
      </c>
      <c r="R16" s="27"/>
      <c r="S16" s="27"/>
      <c r="T16" s="27"/>
      <c r="U16" s="27"/>
      <c r="V16" s="27"/>
      <c r="W16" s="27"/>
      <c r="X16" s="27"/>
      <c r="Y16" s="106"/>
      <c r="AA16" s="105" t="s">
        <v>130</v>
      </c>
      <c r="AB16" s="27"/>
      <c r="AC16" s="27"/>
      <c r="AD16" s="27"/>
      <c r="AE16" s="27"/>
      <c r="AF16" s="27"/>
      <c r="AG16" s="27"/>
      <c r="AH16" s="27"/>
      <c r="AI16" s="106"/>
    </row>
    <row r="17" spans="2:35" ht="11.1" customHeight="1" thickBot="1">
      <c r="B17" s="139" t="s">
        <v>128</v>
      </c>
      <c r="C17" s="31"/>
      <c r="D17" s="144"/>
      <c r="E17" s="145">
        <v>3</v>
      </c>
      <c r="G17" s="142" t="s">
        <v>131</v>
      </c>
      <c r="H17" s="146"/>
      <c r="I17" s="146"/>
      <c r="J17" s="146"/>
      <c r="K17" s="147"/>
      <c r="L17" s="148" t="s">
        <v>132</v>
      </c>
      <c r="M17" s="149"/>
      <c r="N17" s="150" t="s">
        <v>133</v>
      </c>
      <c r="O17" s="151">
        <f>( O12)*(K13/100)*(-0.0074*K18^6 + 0.1144*K18^5 - 0.6864*K18^4 + 2.1414*K18^3 - 3.9814*K18^2 + 5.6062*K18 + 0.1879)</f>
        <v>2.2409754451190889</v>
      </c>
      <c r="Q17" s="142" t="s">
        <v>134</v>
      </c>
      <c r="R17" s="146"/>
      <c r="S17" s="146"/>
      <c r="T17" s="146"/>
      <c r="U17" s="147"/>
      <c r="V17" s="148" t="s">
        <v>132</v>
      </c>
      <c r="W17" s="149"/>
      <c r="X17" s="150" t="s">
        <v>133</v>
      </c>
      <c r="Y17" s="151">
        <f>( Y12)*(U13/100)*(-0.0074*U18^6 + 0.1144*U18^5 - 0.6864*U18^4 + 2.1414*U18^3 - 3.9814*U18^2 + 5.6062*U18 + 0.1879)</f>
        <v>1.4010950780049563</v>
      </c>
      <c r="AA17" s="142" t="s">
        <v>135</v>
      </c>
      <c r="AB17" s="146"/>
      <c r="AC17" s="146"/>
      <c r="AD17" s="146"/>
      <c r="AE17" s="147"/>
      <c r="AF17" s="148" t="s">
        <v>132</v>
      </c>
      <c r="AG17" s="149"/>
      <c r="AH17" s="150" t="s">
        <v>133</v>
      </c>
      <c r="AI17" s="151">
        <f>( AI12)*(AE13/100)*(-0.0074*AE18^6 + 0.1144*AE18^5 - 0.6864*AE18^4 + 2.1414*AE18^3 - 3.9814*AE18^2 + 5.6062*AE18 + 0.1879)</f>
        <v>0.57402875078744486</v>
      </c>
    </row>
    <row r="18" spans="2:35" ht="11.1" customHeight="1" thickBot="1">
      <c r="B18" s="105"/>
      <c r="C18" s="36" t="s">
        <v>130</v>
      </c>
      <c r="D18" s="27"/>
      <c r="E18" s="106"/>
      <c r="G18" s="139" t="s">
        <v>136</v>
      </c>
      <c r="H18" s="152"/>
      <c r="I18" s="152"/>
      <c r="J18" s="153" t="s">
        <v>64</v>
      </c>
      <c r="K18" s="154">
        <f>E20</f>
        <v>0.3</v>
      </c>
      <c r="L18" s="155" t="s">
        <v>137</v>
      </c>
      <c r="M18" s="137"/>
      <c r="N18" s="153" t="s">
        <v>36</v>
      </c>
      <c r="O18" s="156">
        <f>VLOOKUP(K18,K32:N43,4)</f>
        <v>0</v>
      </c>
      <c r="Q18" s="139" t="s">
        <v>136</v>
      </c>
      <c r="R18" s="152"/>
      <c r="S18" s="152"/>
      <c r="T18" s="153" t="s">
        <v>64</v>
      </c>
      <c r="U18" s="154">
        <f>E24</f>
        <v>0.157</v>
      </c>
      <c r="V18" s="155" t="s">
        <v>137</v>
      </c>
      <c r="W18" s="137"/>
      <c r="X18" s="153" t="s">
        <v>36</v>
      </c>
      <c r="Y18" s="156">
        <f>VLOOKUP(U18,U32:X43,4)</f>
        <v>0.22912991463389906</v>
      </c>
      <c r="AA18" s="139" t="s">
        <v>136</v>
      </c>
      <c r="AB18" s="152"/>
      <c r="AC18" s="152"/>
      <c r="AD18" s="153" t="s">
        <v>64</v>
      </c>
      <c r="AE18" s="154">
        <f>E28</f>
        <v>3.9E-2</v>
      </c>
      <c r="AF18" s="155" t="s">
        <v>137</v>
      </c>
      <c r="AG18" s="137"/>
      <c r="AH18" s="153" t="s">
        <v>36</v>
      </c>
      <c r="AI18" s="156">
        <f>VLOOKUP(AE18,AE32:AH43,4)</f>
        <v>0.79227518871020675</v>
      </c>
    </row>
    <row r="19" spans="2:35" ht="11.1" customHeight="1">
      <c r="B19" s="157" t="s">
        <v>131</v>
      </c>
      <c r="C19" s="41"/>
      <c r="D19" s="41"/>
      <c r="E19" s="158"/>
      <c r="G19" s="139" t="s">
        <v>138</v>
      </c>
      <c r="H19" s="152"/>
      <c r="I19" s="152"/>
      <c r="J19" s="153" t="s">
        <v>139</v>
      </c>
      <c r="K19" s="159" t="str">
        <f>E21</f>
        <v>W</v>
      </c>
      <c r="L19" s="155" t="s">
        <v>140</v>
      </c>
      <c r="M19" s="137"/>
      <c r="N19" s="153"/>
      <c r="O19" s="160">
        <f xml:space="preserve"> -21.025*O18^6 + 48.376*O18^5 - 36.141*O18^4 + 6.7683*O18^3 + 2.8416*O18^2 - 1.9686*O18 + 1.2989</f>
        <v>1.2988999999999999</v>
      </c>
      <c r="Q19" s="139" t="s">
        <v>138</v>
      </c>
      <c r="R19" s="152"/>
      <c r="S19" s="152"/>
      <c r="T19" s="153" t="s">
        <v>139</v>
      </c>
      <c r="U19" s="159" t="str">
        <f>E25</f>
        <v>W</v>
      </c>
      <c r="V19" s="155" t="s">
        <v>140</v>
      </c>
      <c r="W19" s="137"/>
      <c r="X19" s="153"/>
      <c r="Y19" s="160">
        <f xml:space="preserve"> -21.025*Y18^6 + 48.376*Y18^5 - 36.141*Y18^4 + 6.7683*Y18^3 + 2.8416*Y18^2 - 1.9686*Y18 + 1.2989</f>
        <v>1.0063330541888174</v>
      </c>
      <c r="AA19" s="139" t="s">
        <v>138</v>
      </c>
      <c r="AB19" s="152"/>
      <c r="AC19" s="152"/>
      <c r="AD19" s="153" t="s">
        <v>139</v>
      </c>
      <c r="AE19" s="159" t="str">
        <f>E29</f>
        <v>W</v>
      </c>
      <c r="AF19" s="155" t="s">
        <v>140</v>
      </c>
      <c r="AG19" s="137"/>
      <c r="AH19" s="153"/>
      <c r="AI19" s="160">
        <f xml:space="preserve"> -21.025*AI18^6 + 48.376*AI18^5 - 36.141*AI18^4 + 6.7683*AI18^3 + 2.8416*AI18^2 - 1.9686*AI18 + 1.2989</f>
        <v>0.55032296464804809</v>
      </c>
    </row>
    <row r="20" spans="2:35" ht="11.1" customHeight="1">
      <c r="B20" s="124" t="s">
        <v>136</v>
      </c>
      <c r="C20" s="29"/>
      <c r="D20" s="161" t="s">
        <v>64</v>
      </c>
      <c r="E20" s="162">
        <v>0.3</v>
      </c>
      <c r="G20" s="139" t="s">
        <v>141</v>
      </c>
      <c r="H20" s="152"/>
      <c r="I20" s="152"/>
      <c r="J20" s="153" t="s">
        <v>36</v>
      </c>
      <c r="K20" s="163">
        <f>E22</f>
        <v>0.95</v>
      </c>
      <c r="L20" s="155" t="s">
        <v>142</v>
      </c>
      <c r="M20" s="137"/>
      <c r="N20" s="153" t="s">
        <v>36</v>
      </c>
      <c r="O20" s="156">
        <f>VLOOKUP(K18/2,K32:N43,3)</f>
        <v>0.77087008536610091</v>
      </c>
      <c r="Q20" s="139" t="s">
        <v>141</v>
      </c>
      <c r="R20" s="152"/>
      <c r="S20" s="152"/>
      <c r="T20" s="153" t="s">
        <v>36</v>
      </c>
      <c r="U20" s="163">
        <f>E26</f>
        <v>0.95</v>
      </c>
      <c r="V20" s="155" t="s">
        <v>142</v>
      </c>
      <c r="W20" s="137"/>
      <c r="X20" s="153" t="s">
        <v>36</v>
      </c>
      <c r="Y20" s="156">
        <f>VLOOKUP(U18/2,U32:X43,3)</f>
        <v>0.38641847638745258</v>
      </c>
      <c r="AA20" s="139" t="s">
        <v>141</v>
      </c>
      <c r="AB20" s="152"/>
      <c r="AC20" s="152"/>
      <c r="AD20" s="153" t="s">
        <v>36</v>
      </c>
      <c r="AE20" s="163">
        <f>E30</f>
        <v>0.95</v>
      </c>
      <c r="AF20" s="155" t="s">
        <v>142</v>
      </c>
      <c r="AG20" s="137"/>
      <c r="AH20" s="153" t="s">
        <v>36</v>
      </c>
      <c r="AI20" s="156">
        <f>VLOOKUP(AE18/2,AE32:AH43,3)</f>
        <v>0.10399573350836887</v>
      </c>
    </row>
    <row r="21" spans="2:35" ht="11.1" customHeight="1">
      <c r="B21" s="111" t="s">
        <v>138</v>
      </c>
      <c r="C21" s="31"/>
      <c r="D21" s="161" t="s">
        <v>139</v>
      </c>
      <c r="E21" s="164" t="s">
        <v>143</v>
      </c>
      <c r="G21" s="139"/>
      <c r="H21" s="165"/>
      <c r="I21" s="166"/>
      <c r="J21" s="166"/>
      <c r="K21" s="167"/>
      <c r="L21" s="155" t="s">
        <v>144</v>
      </c>
      <c r="M21" s="137"/>
      <c r="N21" s="166"/>
      <c r="O21" s="160">
        <f xml:space="preserve"> 86.024*O20^6 - 212.58*O20^5 + 198.72*O20^4 - 84.227*O20^3 + 16.444*O20^2 + 0.0752*O20 + 0.4412</f>
        <v>2.044938758561281</v>
      </c>
      <c r="Q21" s="139"/>
      <c r="R21" s="165"/>
      <c r="S21" s="166"/>
      <c r="T21" s="166"/>
      <c r="U21" s="167"/>
      <c r="V21" s="155" t="s">
        <v>144</v>
      </c>
      <c r="W21" s="137"/>
      <c r="X21" s="166"/>
      <c r="Y21" s="160">
        <f xml:space="preserve"> 86.024*Y20^6 - 212.58*Y20^5 + 198.72*Y20^4 - 84.227*Y20^3 + 16.444*Y20^2 + 0.0752*Y20 + 0.4412</f>
        <v>0.95137369759107915</v>
      </c>
      <c r="AA21" s="139"/>
      <c r="AB21" s="165"/>
      <c r="AC21" s="166"/>
      <c r="AD21" s="166"/>
      <c r="AE21" s="167"/>
      <c r="AF21" s="155" t="s">
        <v>144</v>
      </c>
      <c r="AG21" s="137"/>
      <c r="AH21" s="166"/>
      <c r="AI21" s="160">
        <f xml:space="preserve"> 86.024*AI20^6 - 212.58*AI20^5 + 198.72*AI20^4 - 84.227*AI20^3 + 16.444*AI20^2 + 0.0752*AI20 + 0.4412</f>
        <v>0.55289853573834846</v>
      </c>
    </row>
    <row r="22" spans="2:35" ht="11.1" customHeight="1" thickBot="1">
      <c r="B22" s="111" t="s">
        <v>141</v>
      </c>
      <c r="C22" s="31"/>
      <c r="D22" s="168" t="s">
        <v>36</v>
      </c>
      <c r="E22" s="169">
        <v>0.95</v>
      </c>
      <c r="G22" s="139" t="s">
        <v>145</v>
      </c>
      <c r="H22" s="165"/>
      <c r="I22" s="166"/>
      <c r="J22" s="150" t="s">
        <v>133</v>
      </c>
      <c r="K22" s="170">
        <f>O17/(O19*O21*O22*O23*O24*O25*O26*O27)</f>
        <v>0.49000325321513449</v>
      </c>
      <c r="L22" s="155" t="s">
        <v>146</v>
      </c>
      <c r="M22" s="137"/>
      <c r="N22" s="166"/>
      <c r="O22" s="160">
        <v>1</v>
      </c>
      <c r="Q22" s="139" t="s">
        <v>145</v>
      </c>
      <c r="R22" s="165"/>
      <c r="S22" s="166"/>
      <c r="T22" s="150" t="s">
        <v>133</v>
      </c>
      <c r="U22" s="170">
        <f>Y17/(Y19*Y21*Y22*Y23*Y24*Y25*Y26*Y27)</f>
        <v>0.57218319450636912</v>
      </c>
      <c r="V22" s="155" t="s">
        <v>146</v>
      </c>
      <c r="W22" s="137"/>
      <c r="X22" s="166"/>
      <c r="Y22" s="160">
        <v>1</v>
      </c>
      <c r="AA22" s="139" t="s">
        <v>145</v>
      </c>
      <c r="AB22" s="165"/>
      <c r="AC22" s="166"/>
      <c r="AD22" s="150" t="s">
        <v>133</v>
      </c>
      <c r="AE22" s="170">
        <f>AI17/(AI19*AI21*AI22*AI23*AI24*AI25*AI26*AI27)</f>
        <v>1.4836732510050854</v>
      </c>
      <c r="AF22" s="155" t="s">
        <v>146</v>
      </c>
      <c r="AG22" s="137"/>
      <c r="AH22" s="166"/>
      <c r="AI22" s="160">
        <v>1</v>
      </c>
    </row>
    <row r="23" spans="2:35" ht="11.1" customHeight="1">
      <c r="B23" s="157" t="s">
        <v>134</v>
      </c>
      <c r="C23" s="41"/>
      <c r="D23" s="51"/>
      <c r="E23" s="158"/>
      <c r="G23" s="139" t="s">
        <v>147</v>
      </c>
      <c r="H23" s="165"/>
      <c r="I23" s="166"/>
      <c r="J23" s="166" t="s">
        <v>148</v>
      </c>
      <c r="K23" s="167">
        <f>K14/K22</f>
        <v>612.24083316092981</v>
      </c>
      <c r="L23" s="155" t="s">
        <v>149</v>
      </c>
      <c r="M23" s="137"/>
      <c r="N23" s="166"/>
      <c r="O23" s="160">
        <f>K13/100</f>
        <v>1.6857426133256084</v>
      </c>
      <c r="Q23" s="139" t="s">
        <v>147</v>
      </c>
      <c r="R23" s="165"/>
      <c r="S23" s="166"/>
      <c r="T23" s="166" t="s">
        <v>148</v>
      </c>
      <c r="U23" s="167">
        <f>U14/U22</f>
        <v>524.30760441822213</v>
      </c>
      <c r="V23" s="155" t="s">
        <v>149</v>
      </c>
      <c r="W23" s="137"/>
      <c r="X23" s="166"/>
      <c r="Y23" s="160">
        <f>U13/100</f>
        <v>1.6857426133256084</v>
      </c>
      <c r="AA23" s="139" t="s">
        <v>147</v>
      </c>
      <c r="AB23" s="165"/>
      <c r="AC23" s="166"/>
      <c r="AD23" s="166" t="s">
        <v>148</v>
      </c>
      <c r="AE23" s="167">
        <f>AE14/AE22</f>
        <v>199.88434183846792</v>
      </c>
      <c r="AF23" s="155" t="s">
        <v>149</v>
      </c>
      <c r="AG23" s="137"/>
      <c r="AH23" s="166"/>
      <c r="AI23" s="160">
        <f>AE13/100</f>
        <v>1.6857426133256084</v>
      </c>
    </row>
    <row r="24" spans="2:35" ht="11.1" customHeight="1">
      <c r="B24" s="124" t="s">
        <v>136</v>
      </c>
      <c r="C24" s="29"/>
      <c r="D24" s="161" t="s">
        <v>64</v>
      </c>
      <c r="E24" s="162">
        <v>0.157</v>
      </c>
      <c r="G24" s="139" t="s">
        <v>150</v>
      </c>
      <c r="H24" s="165"/>
      <c r="I24" s="166"/>
      <c r="J24" s="166" t="s">
        <v>57</v>
      </c>
      <c r="K24" s="170">
        <f>N65</f>
        <v>9.9999999999999995E-7</v>
      </c>
      <c r="L24" s="155" t="s">
        <v>151</v>
      </c>
      <c r="M24" s="137"/>
      <c r="N24" s="166"/>
      <c r="O24" s="160">
        <f>IF(OR(K19="W",K19="w"),IF(K18&lt;0.1875,1010.3*K18^3 - 442.88*K18^2 + 63.413*K18 - 0.482, -9.018*K18^5 + 41.208*K18^4 - 72.623*K18^3 + 61.985*K18^2 - 26.09*K18 + 5.6392),1)</f>
        <v>1.7419000599999994</v>
      </c>
      <c r="Q24" s="139" t="s">
        <v>150</v>
      </c>
      <c r="R24" s="165"/>
      <c r="S24" s="166"/>
      <c r="T24" s="166" t="s">
        <v>57</v>
      </c>
      <c r="U24" s="170">
        <f>X65</f>
        <v>3.436949719508493</v>
      </c>
      <c r="V24" s="155" t="s">
        <v>151</v>
      </c>
      <c r="W24" s="137"/>
      <c r="X24" s="166"/>
      <c r="Y24" s="160">
        <f>IF(OR(U19="W",U19="w"),IF(U18&lt;0.1875,1010.3*U18^3 - 442.88*U18^2 + 63.413*U18 - 0.482, -9.018*U18^5 + 41.208*U18^4 - 72.623*U18^3 + 61.985*U18^2 - 26.09*U18 + 5.6392),1)</f>
        <v>2.4670447778999982</v>
      </c>
      <c r="AA24" s="139" t="s">
        <v>150</v>
      </c>
      <c r="AB24" s="165"/>
      <c r="AC24" s="166"/>
      <c r="AD24" s="166" t="s">
        <v>57</v>
      </c>
      <c r="AE24" s="170">
        <f>AH65</f>
        <v>73.784902758014482</v>
      </c>
      <c r="AF24" s="155" t="s">
        <v>151</v>
      </c>
      <c r="AG24" s="137"/>
      <c r="AH24" s="166"/>
      <c r="AI24" s="160">
        <f>IF(OR(AE19="W",AE19="w"),IF(AE18&lt;0.1875,1010.3*AE18^3 - 442.88*AE18^2 + 63.413*AE18 - 0.482, -9.018*AE18^5 + 41.208*AE18^4 - 72.623*AE18^3 + 61.985*AE18^2 - 26.09*AE18 + 5.6392),1)</f>
        <v>1.3774165056999996</v>
      </c>
    </row>
    <row r="25" spans="2:35" ht="11.1" customHeight="1">
      <c r="B25" s="111" t="s">
        <v>138</v>
      </c>
      <c r="C25" s="31"/>
      <c r="D25" s="161" t="s">
        <v>139</v>
      </c>
      <c r="E25" s="164" t="s">
        <v>143</v>
      </c>
      <c r="G25" s="139"/>
      <c r="H25" s="165"/>
      <c r="I25" s="166"/>
      <c r="J25" s="166" t="s">
        <v>63</v>
      </c>
      <c r="K25" s="171">
        <f>K24/K14</f>
        <v>3.333333333333333E-9</v>
      </c>
      <c r="L25" s="155" t="s">
        <v>152</v>
      </c>
      <c r="M25" s="137"/>
      <c r="N25" s="166"/>
      <c r="O25" s="160">
        <f xml:space="preserve"> 0.0159*K18^3 - 0.131*O21^2 + 0.366*O21 + 0.3853</f>
        <v>0.58636442269256273</v>
      </c>
      <c r="Q25" s="139"/>
      <c r="R25" s="165"/>
      <c r="S25" s="166"/>
      <c r="T25" s="166" t="s">
        <v>63</v>
      </c>
      <c r="U25" s="171">
        <f>U24/U14</f>
        <v>1.1456499065028309E-2</v>
      </c>
      <c r="V25" s="155" t="s">
        <v>152</v>
      </c>
      <c r="W25" s="137"/>
      <c r="X25" s="166"/>
      <c r="Y25" s="160">
        <f xml:space="preserve"> 0.0159*U18^3 - 0.131*Y21^2 + 0.366*Y21 + 0.3853</f>
        <v>0.61499464408371085</v>
      </c>
      <c r="AA25" s="139"/>
      <c r="AB25" s="165"/>
      <c r="AC25" s="166"/>
      <c r="AD25" s="166" t="s">
        <v>63</v>
      </c>
      <c r="AE25" s="171">
        <f>AE24/AE14</f>
        <v>0.24880005260071386</v>
      </c>
      <c r="AF25" s="155" t="s">
        <v>152</v>
      </c>
      <c r="AG25" s="137"/>
      <c r="AH25" s="166"/>
      <c r="AI25" s="160">
        <f xml:space="preserve"> 0.0159*AE18^3 - 0.131*AI21^2 + 0.366*AI21 + 0.3853</f>
        <v>0.54761552765470467</v>
      </c>
    </row>
    <row r="26" spans="2:35" ht="11.1" customHeight="1" thickBot="1">
      <c r="B26" s="111" t="s">
        <v>141</v>
      </c>
      <c r="C26" s="31"/>
      <c r="D26" s="168" t="s">
        <v>36</v>
      </c>
      <c r="E26" s="169">
        <v>0.95</v>
      </c>
      <c r="G26" s="139" t="s">
        <v>153</v>
      </c>
      <c r="H26" s="165"/>
      <c r="I26" s="166"/>
      <c r="J26" s="166" t="s">
        <v>57</v>
      </c>
      <c r="K26" s="170">
        <f>J65</f>
        <v>300</v>
      </c>
      <c r="L26" s="155" t="s">
        <v>154</v>
      </c>
      <c r="M26" s="137"/>
      <c r="N26" s="166"/>
      <c r="O26" s="172">
        <f xml:space="preserve"> -5*K20 + 5.75</f>
        <v>1</v>
      </c>
      <c r="Q26" s="139" t="s">
        <v>153</v>
      </c>
      <c r="R26" s="165"/>
      <c r="S26" s="166"/>
      <c r="T26" s="166" t="s">
        <v>57</v>
      </c>
      <c r="U26" s="170">
        <f>V65</f>
        <v>296.56305128049149</v>
      </c>
      <c r="V26" s="155" t="s">
        <v>154</v>
      </c>
      <c r="W26" s="137"/>
      <c r="X26" s="166"/>
      <c r="Y26" s="172">
        <f xml:space="preserve"> -5*U20 + 5.75</f>
        <v>1</v>
      </c>
      <c r="AA26" s="139" t="s">
        <v>153</v>
      </c>
      <c r="AB26" s="165"/>
      <c r="AC26" s="166"/>
      <c r="AD26" s="166" t="s">
        <v>57</v>
      </c>
      <c r="AE26" s="170">
        <f>AF65</f>
        <v>222.77814952247701</v>
      </c>
      <c r="AF26" s="155" t="s">
        <v>154</v>
      </c>
      <c r="AG26" s="137"/>
      <c r="AH26" s="166"/>
      <c r="AI26" s="172">
        <f xml:space="preserve"> -5*AE20 + 5.75</f>
        <v>1</v>
      </c>
    </row>
    <row r="27" spans="2:35" ht="11.1" customHeight="1">
      <c r="B27" s="157" t="s">
        <v>135</v>
      </c>
      <c r="C27" s="41"/>
      <c r="D27" s="51"/>
      <c r="E27" s="158"/>
      <c r="G27" s="139"/>
      <c r="H27" s="165"/>
      <c r="I27" s="166"/>
      <c r="J27" s="166" t="s">
        <v>63</v>
      </c>
      <c r="K27" s="173">
        <f>K26/K14</f>
        <v>1</v>
      </c>
      <c r="L27" s="137" t="s">
        <v>155</v>
      </c>
      <c r="M27" s="137"/>
      <c r="N27" s="166"/>
      <c r="O27" s="160">
        <v>1</v>
      </c>
      <c r="Q27" s="139"/>
      <c r="R27" s="165"/>
      <c r="S27" s="166"/>
      <c r="T27" s="166" t="s">
        <v>63</v>
      </c>
      <c r="U27" s="173">
        <f>U26/U14</f>
        <v>0.98854350426830495</v>
      </c>
      <c r="V27" s="137" t="s">
        <v>155</v>
      </c>
      <c r="W27" s="137"/>
      <c r="X27" s="166"/>
      <c r="Y27" s="160">
        <v>1</v>
      </c>
      <c r="AA27" s="139"/>
      <c r="AB27" s="165"/>
      <c r="AC27" s="166"/>
      <c r="AD27" s="166" t="s">
        <v>63</v>
      </c>
      <c r="AE27" s="173">
        <f>AE26/AE14</f>
        <v>0.75119995077125035</v>
      </c>
      <c r="AF27" s="137" t="s">
        <v>155</v>
      </c>
      <c r="AG27" s="137"/>
      <c r="AH27" s="166"/>
      <c r="AI27" s="160">
        <v>1</v>
      </c>
    </row>
    <row r="28" spans="2:35" ht="11.1" customHeight="1" thickBot="1">
      <c r="B28" s="124" t="s">
        <v>136</v>
      </c>
      <c r="C28" s="29"/>
      <c r="D28" s="161" t="s">
        <v>64</v>
      </c>
      <c r="E28" s="162">
        <v>3.9E-2</v>
      </c>
      <c r="G28" s="174"/>
      <c r="H28" s="175"/>
      <c r="I28" s="175"/>
      <c r="J28" s="175"/>
      <c r="K28" s="176"/>
      <c r="L28" s="175"/>
      <c r="M28" s="175"/>
      <c r="N28" s="175"/>
      <c r="O28" s="177"/>
      <c r="Q28" s="174"/>
      <c r="R28" s="175"/>
      <c r="S28" s="175"/>
      <c r="T28" s="175"/>
      <c r="U28" s="176"/>
      <c r="V28" s="175"/>
      <c r="W28" s="175"/>
      <c r="X28" s="175"/>
      <c r="Y28" s="177"/>
      <c r="AA28" s="174"/>
      <c r="AB28" s="175"/>
      <c r="AC28" s="175"/>
      <c r="AD28" s="175"/>
      <c r="AE28" s="176"/>
      <c r="AF28" s="175"/>
      <c r="AG28" s="175"/>
      <c r="AH28" s="175"/>
      <c r="AI28" s="177"/>
    </row>
    <row r="29" spans="2:35" ht="11.1" customHeight="1" thickBot="1">
      <c r="B29" s="111" t="s">
        <v>138</v>
      </c>
      <c r="C29" s="31"/>
      <c r="D29" s="161" t="s">
        <v>139</v>
      </c>
      <c r="E29" s="164" t="s">
        <v>143</v>
      </c>
      <c r="G29" s="105" t="s">
        <v>95</v>
      </c>
      <c r="H29" s="27"/>
      <c r="I29" s="27"/>
      <c r="J29" s="27"/>
      <c r="K29" s="27"/>
      <c r="L29" s="27"/>
      <c r="M29" s="27"/>
      <c r="N29" s="27"/>
      <c r="O29" s="106"/>
      <c r="Q29" s="105" t="s">
        <v>95</v>
      </c>
      <c r="R29" s="27"/>
      <c r="S29" s="27"/>
      <c r="T29" s="27"/>
      <c r="U29" s="27"/>
      <c r="V29" s="27"/>
      <c r="W29" s="27"/>
      <c r="X29" s="27"/>
      <c r="Y29" s="106"/>
      <c r="AA29" s="105" t="s">
        <v>95</v>
      </c>
      <c r="AB29" s="27"/>
      <c r="AC29" s="27"/>
      <c r="AD29" s="27"/>
      <c r="AE29" s="27"/>
      <c r="AF29" s="27"/>
      <c r="AG29" s="27"/>
      <c r="AH29" s="27"/>
      <c r="AI29" s="106"/>
    </row>
    <row r="30" spans="2:35" ht="11.1" customHeight="1" thickBot="1">
      <c r="B30" s="111" t="s">
        <v>141</v>
      </c>
      <c r="C30" s="31"/>
      <c r="D30" s="168" t="s">
        <v>36</v>
      </c>
      <c r="E30" s="169">
        <v>0.95</v>
      </c>
      <c r="G30" s="178" t="s">
        <v>35</v>
      </c>
      <c r="H30" s="73" t="s">
        <v>36</v>
      </c>
      <c r="I30" s="73" t="s">
        <v>96</v>
      </c>
      <c r="J30" s="73" t="s">
        <v>96</v>
      </c>
      <c r="K30" s="104" t="s">
        <v>35</v>
      </c>
      <c r="L30" s="104" t="s">
        <v>156</v>
      </c>
      <c r="M30" s="104" t="s">
        <v>157</v>
      </c>
      <c r="N30" s="104" t="s">
        <v>158</v>
      </c>
      <c r="O30" s="179"/>
      <c r="Q30" s="178" t="s">
        <v>35</v>
      </c>
      <c r="R30" s="73" t="s">
        <v>36</v>
      </c>
      <c r="S30" s="73" t="s">
        <v>96</v>
      </c>
      <c r="T30" s="73" t="s">
        <v>96</v>
      </c>
      <c r="U30" s="104" t="s">
        <v>35</v>
      </c>
      <c r="V30" s="104" t="s">
        <v>156</v>
      </c>
      <c r="W30" s="104" t="s">
        <v>157</v>
      </c>
      <c r="X30" s="104" t="s">
        <v>158</v>
      </c>
      <c r="Y30" s="179"/>
      <c r="AA30" s="178" t="s">
        <v>35</v>
      </c>
      <c r="AB30" s="73" t="s">
        <v>36</v>
      </c>
      <c r="AC30" s="73" t="s">
        <v>96</v>
      </c>
      <c r="AD30" s="73" t="s">
        <v>96</v>
      </c>
      <c r="AE30" s="104" t="s">
        <v>35</v>
      </c>
      <c r="AF30" s="104" t="s">
        <v>156</v>
      </c>
      <c r="AG30" s="104" t="s">
        <v>157</v>
      </c>
      <c r="AH30" s="104" t="s">
        <v>158</v>
      </c>
      <c r="AI30" s="179"/>
    </row>
    <row r="31" spans="2:35" ht="11.1" customHeight="1" thickBot="1">
      <c r="B31" s="105" t="s">
        <v>95</v>
      </c>
      <c r="C31" s="27"/>
      <c r="D31" s="27"/>
      <c r="E31" s="106"/>
      <c r="G31" s="178" t="s">
        <v>159</v>
      </c>
      <c r="H31" s="75" t="s">
        <v>37</v>
      </c>
      <c r="I31" s="75" t="s">
        <v>97</v>
      </c>
      <c r="J31" s="64" t="s">
        <v>37</v>
      </c>
      <c r="K31" s="104"/>
      <c r="L31" s="104"/>
      <c r="M31" s="104"/>
      <c r="N31" s="104"/>
      <c r="O31" s="180"/>
      <c r="Q31" s="178" t="s">
        <v>159</v>
      </c>
      <c r="R31" s="75" t="s">
        <v>37</v>
      </c>
      <c r="S31" s="75" t="s">
        <v>97</v>
      </c>
      <c r="T31" s="64" t="s">
        <v>37</v>
      </c>
      <c r="U31" s="104"/>
      <c r="V31" s="104"/>
      <c r="W31" s="104"/>
      <c r="X31" s="104"/>
      <c r="Y31" s="180"/>
      <c r="AA31" s="178" t="s">
        <v>159</v>
      </c>
      <c r="AB31" s="75" t="s">
        <v>37</v>
      </c>
      <c r="AC31" s="75" t="s">
        <v>97</v>
      </c>
      <c r="AD31" s="64" t="s">
        <v>37</v>
      </c>
      <c r="AE31" s="104"/>
      <c r="AF31" s="104"/>
      <c r="AG31" s="104"/>
      <c r="AH31" s="104"/>
      <c r="AI31" s="180"/>
    </row>
    <row r="32" spans="2:35" ht="11.1" customHeight="1">
      <c r="B32" s="178" t="s">
        <v>35</v>
      </c>
      <c r="C32" s="73" t="s">
        <v>36</v>
      </c>
      <c r="D32" s="73" t="s">
        <v>96</v>
      </c>
      <c r="E32" s="181" t="s">
        <v>96</v>
      </c>
      <c r="G32" s="182">
        <f>B$34</f>
        <v>0.187</v>
      </c>
      <c r="H32" s="183">
        <f t="shared" ref="H32:H43" si="0">C34</f>
        <v>0</v>
      </c>
      <c r="I32" s="64">
        <f>1-H32</f>
        <v>1</v>
      </c>
      <c r="J32" s="64">
        <f>H32</f>
        <v>0</v>
      </c>
      <c r="K32" s="184">
        <f>G43</f>
        <v>0</v>
      </c>
      <c r="L32" s="184">
        <f>H43</f>
        <v>0</v>
      </c>
      <c r="M32" s="185">
        <f>M33-L32</f>
        <v>6.5052130349130266E-18</v>
      </c>
      <c r="N32" s="185">
        <f>L32+N33</f>
        <v>0.99999999999999989</v>
      </c>
      <c r="O32" s="180"/>
      <c r="Q32" s="182">
        <f>B$34</f>
        <v>0.187</v>
      </c>
      <c r="R32" s="183">
        <f t="shared" ref="R32:R43" si="1">M53</f>
        <v>0</v>
      </c>
      <c r="S32" s="64">
        <f>1-R32</f>
        <v>1</v>
      </c>
      <c r="T32" s="64">
        <f>R32</f>
        <v>0</v>
      </c>
      <c r="U32" s="184">
        <f>Q43</f>
        <v>0</v>
      </c>
      <c r="V32" s="184">
        <f>R43</f>
        <v>0</v>
      </c>
      <c r="W32" s="185">
        <f>W33-V32</f>
        <v>0</v>
      </c>
      <c r="X32" s="185">
        <f>V32+X33</f>
        <v>0.99999999999999989</v>
      </c>
      <c r="Y32" s="180"/>
      <c r="AA32" s="182">
        <f>B$34</f>
        <v>0.187</v>
      </c>
      <c r="AB32" s="183">
        <f t="shared" ref="AB32:AB43" si="2">W53</f>
        <v>0</v>
      </c>
      <c r="AC32" s="64">
        <f>1-AB32</f>
        <v>1</v>
      </c>
      <c r="AD32" s="64">
        <f>AB32</f>
        <v>0</v>
      </c>
      <c r="AE32" s="184">
        <f>AA43</f>
        <v>0</v>
      </c>
      <c r="AF32" s="184">
        <f>AB43</f>
        <v>0</v>
      </c>
      <c r="AG32" s="185">
        <f>AG33-AF32</f>
        <v>-2.688821387764051E-17</v>
      </c>
      <c r="AH32" s="185">
        <f>AF32+AH33</f>
        <v>1</v>
      </c>
      <c r="AI32" s="180"/>
    </row>
    <row r="33" spans="2:49" ht="11.1" customHeight="1">
      <c r="B33" s="178" t="s">
        <v>159</v>
      </c>
      <c r="C33" s="75" t="s">
        <v>37</v>
      </c>
      <c r="D33" s="75" t="s">
        <v>97</v>
      </c>
      <c r="E33" s="186" t="s">
        <v>37</v>
      </c>
      <c r="G33" s="182">
        <f>B$35</f>
        <v>9.4E-2</v>
      </c>
      <c r="H33" s="183">
        <f t="shared" si="0"/>
        <v>0.22912991463389906</v>
      </c>
      <c r="I33" s="64">
        <f>I32-H33</f>
        <v>0.77087008536610091</v>
      </c>
      <c r="J33" s="64">
        <f>J32+H33</f>
        <v>0.22912991463389906</v>
      </c>
      <c r="K33" s="184">
        <f>G42</f>
        <v>0</v>
      </c>
      <c r="L33" s="184">
        <f>H42</f>
        <v>0</v>
      </c>
      <c r="M33" s="185">
        <f>M34-L33</f>
        <v>6.5052130349130266E-18</v>
      </c>
      <c r="N33" s="185">
        <f>L33+N34</f>
        <v>0.99999999999999989</v>
      </c>
      <c r="O33" s="180"/>
      <c r="Q33" s="182">
        <f>B$35</f>
        <v>9.4E-2</v>
      </c>
      <c r="R33" s="183">
        <f t="shared" si="1"/>
        <v>0.22912991463389906</v>
      </c>
      <c r="S33" s="64">
        <f>S32-R33</f>
        <v>0.77087008536610091</v>
      </c>
      <c r="T33" s="64">
        <f>T32+R33</f>
        <v>0.22912991463389906</v>
      </c>
      <c r="U33" s="184">
        <f>Q42</f>
        <v>0</v>
      </c>
      <c r="V33" s="184">
        <f>R42</f>
        <v>0</v>
      </c>
      <c r="W33" s="185">
        <f>W34-V33</f>
        <v>0</v>
      </c>
      <c r="X33" s="185">
        <f>V33+X34</f>
        <v>0.99999999999999989</v>
      </c>
      <c r="Y33" s="180"/>
      <c r="AA33" s="182">
        <f>B$35</f>
        <v>9.4E-2</v>
      </c>
      <c r="AB33" s="183">
        <f t="shared" si="2"/>
        <v>0.22019609451919919</v>
      </c>
      <c r="AC33" s="64">
        <f>AC32-AB33</f>
        <v>0.77980390548080081</v>
      </c>
      <c r="AD33" s="64">
        <f>AD32+AB33</f>
        <v>0.22019609451919919</v>
      </c>
      <c r="AE33" s="184">
        <f>AA42</f>
        <v>0</v>
      </c>
      <c r="AF33" s="184">
        <f>AB42</f>
        <v>0</v>
      </c>
      <c r="AG33" s="185">
        <f>AG34-AF33</f>
        <v>-2.688821387764051E-17</v>
      </c>
      <c r="AH33" s="185">
        <f>AF33+AH34</f>
        <v>1</v>
      </c>
      <c r="AI33" s="180"/>
    </row>
    <row r="34" spans="2:49" ht="11.1" customHeight="1">
      <c r="B34" s="187">
        <f>'Flowsheet Balance'!C42</f>
        <v>0.187</v>
      </c>
      <c r="C34" s="24">
        <v>0</v>
      </c>
      <c r="D34" s="64">
        <f>1-C34</f>
        <v>1</v>
      </c>
      <c r="E34" s="186">
        <f>C34</f>
        <v>0</v>
      </c>
      <c r="G34" s="182">
        <f>B$36</f>
        <v>4.7E-2</v>
      </c>
      <c r="H34" s="183">
        <f t="shared" si="0"/>
        <v>0.38445160897864833</v>
      </c>
      <c r="I34" s="64">
        <f t="shared" ref="I34:I43" si="3">I33-H34</f>
        <v>0.38641847638745258</v>
      </c>
      <c r="J34" s="64">
        <f t="shared" ref="J34:J43" si="4">J33+H34</f>
        <v>0.61358152361254736</v>
      </c>
      <c r="K34" s="184">
        <f>G41</f>
        <v>0</v>
      </c>
      <c r="L34" s="184">
        <f>H41</f>
        <v>0</v>
      </c>
      <c r="M34" s="185">
        <f>M35-L34</f>
        <v>6.5052130349130266E-18</v>
      </c>
      <c r="N34" s="185">
        <f>L34+N35</f>
        <v>0.99999999999999989</v>
      </c>
      <c r="O34" s="180"/>
      <c r="Q34" s="182">
        <f>B$36</f>
        <v>4.7E-2</v>
      </c>
      <c r="R34" s="183">
        <f t="shared" si="1"/>
        <v>0.38445160897864833</v>
      </c>
      <c r="S34" s="64">
        <f t="shared" ref="S34:S43" si="5">S33-R34</f>
        <v>0.38641847638745258</v>
      </c>
      <c r="T34" s="64">
        <f t="shared" ref="T34:T43" si="6">T33+R34</f>
        <v>0.61358152361254736</v>
      </c>
      <c r="U34" s="184">
        <f>Q41</f>
        <v>0</v>
      </c>
      <c r="V34" s="184">
        <f>R41</f>
        <v>0</v>
      </c>
      <c r="W34" s="185">
        <f>W35-V34</f>
        <v>0</v>
      </c>
      <c r="X34" s="185">
        <f>V34+X35</f>
        <v>0.99999999999999989</v>
      </c>
      <c r="Y34" s="180"/>
      <c r="AA34" s="182">
        <f>B$36</f>
        <v>4.7E-2</v>
      </c>
      <c r="AB34" s="183">
        <f t="shared" si="2"/>
        <v>0.38890712175910735</v>
      </c>
      <c r="AC34" s="64">
        <f t="shared" ref="AC34:AC43" si="7">AC33-AB34</f>
        <v>0.39089678372169345</v>
      </c>
      <c r="AD34" s="64">
        <f t="shared" ref="AD34:AD43" si="8">AD33+AB34</f>
        <v>0.60910321627830655</v>
      </c>
      <c r="AE34" s="184">
        <f>AA41</f>
        <v>0</v>
      </c>
      <c r="AF34" s="184">
        <f>AB41</f>
        <v>0</v>
      </c>
      <c r="AG34" s="185">
        <f>AG35-AF34</f>
        <v>-2.688821387764051E-17</v>
      </c>
      <c r="AH34" s="185">
        <f>AF34+AH35</f>
        <v>1</v>
      </c>
      <c r="AI34" s="180"/>
    </row>
    <row r="35" spans="2:49" ht="11.1" customHeight="1">
      <c r="B35" s="187">
        <f>'Flowsheet Balance'!C43</f>
        <v>9.4E-2</v>
      </c>
      <c r="C35" s="24">
        <v>0.22912991463389906</v>
      </c>
      <c r="D35" s="64">
        <f>D34-C35</f>
        <v>0.77087008536610091</v>
      </c>
      <c r="E35" s="186">
        <f>E34+C35</f>
        <v>0.22912991463389906</v>
      </c>
      <c r="G35" s="182">
        <f>B$37</f>
        <v>2.3E-2</v>
      </c>
      <c r="H35" s="183">
        <f t="shared" si="0"/>
        <v>0.181073463511568</v>
      </c>
      <c r="I35" s="64">
        <f t="shared" si="3"/>
        <v>0.20534501287588458</v>
      </c>
      <c r="J35" s="64">
        <f t="shared" si="4"/>
        <v>0.79465498712411531</v>
      </c>
      <c r="K35" s="184">
        <f>G40</f>
        <v>0</v>
      </c>
      <c r="L35" s="184">
        <f>H40</f>
        <v>0</v>
      </c>
      <c r="M35" s="185">
        <f>M36-L35</f>
        <v>6.5052130349130266E-18</v>
      </c>
      <c r="N35" s="185">
        <f>L35+N36</f>
        <v>0.99999999999999989</v>
      </c>
      <c r="O35" s="180"/>
      <c r="Q35" s="182">
        <f>B$37</f>
        <v>2.3E-2</v>
      </c>
      <c r="R35" s="183">
        <f t="shared" si="1"/>
        <v>0.181073463511568</v>
      </c>
      <c r="S35" s="64">
        <f t="shared" si="5"/>
        <v>0.20534501287588458</v>
      </c>
      <c r="T35" s="64">
        <f t="shared" si="6"/>
        <v>0.79465498712411531</v>
      </c>
      <c r="U35" s="184">
        <f>Q40</f>
        <v>0</v>
      </c>
      <c r="V35" s="184">
        <f>R40</f>
        <v>0</v>
      </c>
      <c r="W35" s="185">
        <f>W36-V35</f>
        <v>0</v>
      </c>
      <c r="X35" s="185">
        <f>V35+X36</f>
        <v>0.99999999999999989</v>
      </c>
      <c r="Y35" s="180"/>
      <c r="AA35" s="182">
        <f>B$37</f>
        <v>2.3E-2</v>
      </c>
      <c r="AB35" s="183">
        <f t="shared" si="2"/>
        <v>0.18317197243190023</v>
      </c>
      <c r="AC35" s="64">
        <f t="shared" si="7"/>
        <v>0.20772481128979323</v>
      </c>
      <c r="AD35" s="64">
        <f t="shared" si="8"/>
        <v>0.79227518871020675</v>
      </c>
      <c r="AE35" s="184">
        <f>AA40</f>
        <v>0</v>
      </c>
      <c r="AF35" s="184">
        <f>AB40</f>
        <v>0</v>
      </c>
      <c r="AG35" s="185">
        <f>AG36-AF35</f>
        <v>-2.688821387764051E-17</v>
      </c>
      <c r="AH35" s="185">
        <f>AF35+AH36</f>
        <v>1</v>
      </c>
      <c r="AI35" s="180"/>
    </row>
    <row r="36" spans="2:49" ht="11.1" customHeight="1">
      <c r="B36" s="187">
        <f>'Flowsheet Balance'!C44</f>
        <v>4.7E-2</v>
      </c>
      <c r="C36" s="24">
        <v>0.38445160897864833</v>
      </c>
      <c r="D36" s="64">
        <f t="shared" ref="D36:D45" si="9">D35-C36</f>
        <v>0.38641847638745258</v>
      </c>
      <c r="E36" s="186">
        <f t="shared" ref="E36:E45" si="10">E35+C36</f>
        <v>0.61358152361254736</v>
      </c>
      <c r="G36" s="182">
        <f>B$38</f>
        <v>1.2E-2</v>
      </c>
      <c r="H36" s="183">
        <f t="shared" si="0"/>
        <v>0.1025407060445688</v>
      </c>
      <c r="I36" s="64">
        <f t="shared" si="3"/>
        <v>0.10280430683131578</v>
      </c>
      <c r="J36" s="64">
        <f t="shared" si="4"/>
        <v>0.89719569316868408</v>
      </c>
      <c r="K36" s="184">
        <f>G39</f>
        <v>0</v>
      </c>
      <c r="L36" s="184">
        <f>H39</f>
        <v>3.2443173753472433E-3</v>
      </c>
      <c r="M36" s="185">
        <f>M37-L36</f>
        <v>6.5052130349130266E-18</v>
      </c>
      <c r="N36" s="185">
        <f>L36+N37</f>
        <v>0.99999999999999989</v>
      </c>
      <c r="O36" s="180"/>
      <c r="Q36" s="182">
        <f>B$38</f>
        <v>1.2E-2</v>
      </c>
      <c r="R36" s="183">
        <f t="shared" si="1"/>
        <v>0.1025407060445688</v>
      </c>
      <c r="S36" s="64">
        <f t="shared" si="5"/>
        <v>0.10280430683131578</v>
      </c>
      <c r="T36" s="64">
        <f t="shared" si="6"/>
        <v>0.89719569316868408</v>
      </c>
      <c r="U36" s="184">
        <f>Q39</f>
        <v>0</v>
      </c>
      <c r="V36" s="184">
        <f>R39</f>
        <v>3.2443173753472433E-3</v>
      </c>
      <c r="W36" s="185">
        <f>W37-V36</f>
        <v>0</v>
      </c>
      <c r="X36" s="185">
        <f>V36+X37</f>
        <v>0.99999999999999989</v>
      </c>
      <c r="Y36" s="180"/>
      <c r="AA36" s="182">
        <f>B$38</f>
        <v>1.2E-2</v>
      </c>
      <c r="AB36" s="183">
        <f t="shared" si="2"/>
        <v>0.10372907778142436</v>
      </c>
      <c r="AC36" s="64">
        <f t="shared" si="7"/>
        <v>0.10399573350836887</v>
      </c>
      <c r="AD36" s="64">
        <f t="shared" si="8"/>
        <v>0.89600426649163112</v>
      </c>
      <c r="AE36" s="184">
        <f>AA39</f>
        <v>0</v>
      </c>
      <c r="AF36" s="184">
        <f>AB39</f>
        <v>3.2819166393173614E-3</v>
      </c>
      <c r="AG36" s="185">
        <f>AG37-AF36</f>
        <v>-2.688821387764051E-17</v>
      </c>
      <c r="AH36" s="185">
        <f>AF36+AH37</f>
        <v>1</v>
      </c>
      <c r="AI36" s="180"/>
    </row>
    <row r="37" spans="2:49" ht="11.1" customHeight="1">
      <c r="B37" s="187">
        <f>'Flowsheet Balance'!C45</f>
        <v>2.3E-2</v>
      </c>
      <c r="C37" s="24">
        <v>0.181073463511568</v>
      </c>
      <c r="D37" s="64">
        <f t="shared" si="9"/>
        <v>0.20534501287588458</v>
      </c>
      <c r="E37" s="186">
        <f t="shared" si="10"/>
        <v>0.79465498712411531</v>
      </c>
      <c r="G37" s="182">
        <f>B$39</f>
        <v>6.0000000000000001E-3</v>
      </c>
      <c r="H37" s="183">
        <f t="shared" si="0"/>
        <v>7.1537198126406715E-2</v>
      </c>
      <c r="I37" s="64">
        <f t="shared" si="3"/>
        <v>3.1267108704909063E-2</v>
      </c>
      <c r="J37" s="64">
        <f t="shared" si="4"/>
        <v>0.96873289129509077</v>
      </c>
      <c r="K37" s="184">
        <f>G38</f>
        <v>3.0000000000000001E-3</v>
      </c>
      <c r="L37" s="184">
        <f>H38</f>
        <v>2.8022791329561814E-2</v>
      </c>
      <c r="M37" s="185">
        <f t="shared" ref="M37:M42" si="11">M38-L37</f>
        <v>3.2443173753472498E-3</v>
      </c>
      <c r="N37" s="185">
        <f t="shared" ref="N37:N42" si="12">L37+N38</f>
        <v>0.99675568262465264</v>
      </c>
      <c r="O37" s="180"/>
      <c r="Q37" s="182">
        <f>B$39</f>
        <v>6.0000000000000001E-3</v>
      </c>
      <c r="R37" s="183">
        <f t="shared" si="1"/>
        <v>7.1537198126406715E-2</v>
      </c>
      <c r="S37" s="64">
        <f t="shared" si="5"/>
        <v>3.1267108704909063E-2</v>
      </c>
      <c r="T37" s="64">
        <f t="shared" si="6"/>
        <v>0.96873289129509077</v>
      </c>
      <c r="U37" s="184">
        <f>Q38</f>
        <v>3.0000000000000001E-3</v>
      </c>
      <c r="V37" s="184">
        <f>R38</f>
        <v>2.8022791329561817E-2</v>
      </c>
      <c r="W37" s="185">
        <f t="shared" ref="W37:W42" si="13">W38-V37</f>
        <v>3.2443173753472464E-3</v>
      </c>
      <c r="X37" s="185">
        <f t="shared" ref="X37:X42" si="14">V37+X38</f>
        <v>0.99675568262465264</v>
      </c>
      <c r="Y37" s="180"/>
      <c r="AA37" s="182">
        <f>B$39</f>
        <v>6.0000000000000001E-3</v>
      </c>
      <c r="AB37" s="183">
        <f t="shared" si="2"/>
        <v>7.2366261896947823E-2</v>
      </c>
      <c r="AC37" s="64">
        <f t="shared" si="7"/>
        <v>3.1629471611421045E-2</v>
      </c>
      <c r="AD37" s="64">
        <f t="shared" si="8"/>
        <v>0.96837052838857895</v>
      </c>
      <c r="AE37" s="184">
        <f>AA38</f>
        <v>3.0000000000000001E-3</v>
      </c>
      <c r="AF37" s="184">
        <f>AB38</f>
        <v>2.8347554972103711E-2</v>
      </c>
      <c r="AG37" s="185">
        <f t="shared" ref="AG37:AG42" si="15">AG38-AF37</f>
        <v>3.2819166393173345E-3</v>
      </c>
      <c r="AH37" s="185">
        <f t="shared" ref="AH37:AH42" si="16">AF37+AH38</f>
        <v>0.99671808336068268</v>
      </c>
      <c r="AI37" s="180"/>
    </row>
    <row r="38" spans="2:49" ht="11.1" customHeight="1">
      <c r="B38" s="187">
        <f>'Flowsheet Balance'!C46</f>
        <v>1.2E-2</v>
      </c>
      <c r="C38" s="24">
        <v>0.1025407060445688</v>
      </c>
      <c r="D38" s="64">
        <f t="shared" si="9"/>
        <v>0.10280430683131578</v>
      </c>
      <c r="E38" s="186">
        <f t="shared" si="10"/>
        <v>0.89719569316868408</v>
      </c>
      <c r="G38" s="182">
        <f>B$40</f>
        <v>3.0000000000000001E-3</v>
      </c>
      <c r="H38" s="183">
        <f t="shared" si="0"/>
        <v>2.8022791329561814E-2</v>
      </c>
      <c r="I38" s="64">
        <f t="shared" si="3"/>
        <v>3.2443173753472498E-3</v>
      </c>
      <c r="J38" s="64">
        <f t="shared" si="4"/>
        <v>0.99675568262465264</v>
      </c>
      <c r="K38" s="184">
        <f>G37</f>
        <v>6.0000000000000001E-3</v>
      </c>
      <c r="L38" s="184">
        <f>H37</f>
        <v>7.1537198126406715E-2</v>
      </c>
      <c r="M38" s="185">
        <f t="shared" si="11"/>
        <v>3.1267108704909063E-2</v>
      </c>
      <c r="N38" s="185">
        <f t="shared" si="12"/>
        <v>0.96873289129509077</v>
      </c>
      <c r="O38" s="180"/>
      <c r="Q38" s="182">
        <f>B$40</f>
        <v>3.0000000000000001E-3</v>
      </c>
      <c r="R38" s="183">
        <f t="shared" si="1"/>
        <v>2.8022791329561817E-2</v>
      </c>
      <c r="S38" s="64">
        <f t="shared" si="5"/>
        <v>3.2443173753472464E-3</v>
      </c>
      <c r="T38" s="64">
        <f t="shared" si="6"/>
        <v>0.99675568262465264</v>
      </c>
      <c r="U38" s="184">
        <f>Q37</f>
        <v>6.0000000000000001E-3</v>
      </c>
      <c r="V38" s="184">
        <f>R37</f>
        <v>7.1537198126406715E-2</v>
      </c>
      <c r="W38" s="185">
        <f t="shared" si="13"/>
        <v>3.1267108704909063E-2</v>
      </c>
      <c r="X38" s="185">
        <f t="shared" si="14"/>
        <v>0.96873289129509077</v>
      </c>
      <c r="Y38" s="180"/>
      <c r="AA38" s="182">
        <f>B$40</f>
        <v>3.0000000000000001E-3</v>
      </c>
      <c r="AB38" s="183">
        <f t="shared" si="2"/>
        <v>2.8347554972103711E-2</v>
      </c>
      <c r="AC38" s="64">
        <f t="shared" si="7"/>
        <v>3.2819166393173345E-3</v>
      </c>
      <c r="AD38" s="64">
        <f t="shared" si="8"/>
        <v>0.99671808336068268</v>
      </c>
      <c r="AE38" s="184">
        <f>AA37</f>
        <v>6.0000000000000001E-3</v>
      </c>
      <c r="AF38" s="184">
        <f>AB37</f>
        <v>7.2366261896947823E-2</v>
      </c>
      <c r="AG38" s="185">
        <f t="shared" si="15"/>
        <v>3.1629471611421045E-2</v>
      </c>
      <c r="AH38" s="185">
        <f t="shared" si="16"/>
        <v>0.96837052838857895</v>
      </c>
      <c r="AI38" s="180"/>
    </row>
    <row r="39" spans="2:49" ht="11.1" customHeight="1">
      <c r="B39" s="187">
        <f>'Flowsheet Balance'!C47</f>
        <v>6.0000000000000001E-3</v>
      </c>
      <c r="C39" s="24">
        <v>7.1537198126406715E-2</v>
      </c>
      <c r="D39" s="64">
        <f t="shared" si="9"/>
        <v>3.1267108704909063E-2</v>
      </c>
      <c r="E39" s="186">
        <f t="shared" si="10"/>
        <v>0.96873289129509077</v>
      </c>
      <c r="G39" s="182">
        <f>B$41</f>
        <v>0</v>
      </c>
      <c r="H39" s="183">
        <f t="shared" si="0"/>
        <v>3.2443173753472433E-3</v>
      </c>
      <c r="I39" s="64">
        <f t="shared" si="3"/>
        <v>6.5052130349130266E-18</v>
      </c>
      <c r="J39" s="64">
        <f t="shared" si="4"/>
        <v>0.99999999999999989</v>
      </c>
      <c r="K39" s="184">
        <f>G36</f>
        <v>1.2E-2</v>
      </c>
      <c r="L39" s="184">
        <f>H36</f>
        <v>0.1025407060445688</v>
      </c>
      <c r="M39" s="185">
        <f t="shared" si="11"/>
        <v>0.10280430683131578</v>
      </c>
      <c r="N39" s="185">
        <f t="shared" si="12"/>
        <v>0.89719569316868408</v>
      </c>
      <c r="O39" s="180"/>
      <c r="Q39" s="182">
        <f>B$41</f>
        <v>0</v>
      </c>
      <c r="R39" s="183">
        <f t="shared" si="1"/>
        <v>3.2443173753472433E-3</v>
      </c>
      <c r="S39" s="64">
        <f t="shared" si="5"/>
        <v>0</v>
      </c>
      <c r="T39" s="64">
        <f t="shared" si="6"/>
        <v>0.99999999999999989</v>
      </c>
      <c r="U39" s="184">
        <f>Q36</f>
        <v>1.2E-2</v>
      </c>
      <c r="V39" s="184">
        <f>R36</f>
        <v>0.1025407060445688</v>
      </c>
      <c r="W39" s="185">
        <f t="shared" si="13"/>
        <v>0.10280430683131578</v>
      </c>
      <c r="X39" s="185">
        <f t="shared" si="14"/>
        <v>0.89719569316868408</v>
      </c>
      <c r="Y39" s="180"/>
      <c r="AA39" s="182">
        <f>B$41</f>
        <v>0</v>
      </c>
      <c r="AB39" s="183">
        <f t="shared" si="2"/>
        <v>3.2819166393173614E-3</v>
      </c>
      <c r="AC39" s="64">
        <f t="shared" si="7"/>
        <v>-2.688821387764051E-17</v>
      </c>
      <c r="AD39" s="64">
        <f t="shared" si="8"/>
        <v>1</v>
      </c>
      <c r="AE39" s="184">
        <f>AA36</f>
        <v>1.2E-2</v>
      </c>
      <c r="AF39" s="184">
        <f>AB36</f>
        <v>0.10372907778142436</v>
      </c>
      <c r="AG39" s="185">
        <f t="shared" si="15"/>
        <v>0.10399573350836887</v>
      </c>
      <c r="AH39" s="185">
        <f t="shared" si="16"/>
        <v>0.89600426649163112</v>
      </c>
      <c r="AI39" s="180"/>
    </row>
    <row r="40" spans="2:49" ht="11.1" customHeight="1">
      <c r="B40" s="187">
        <f>'Flowsheet Balance'!C48</f>
        <v>3.0000000000000001E-3</v>
      </c>
      <c r="C40" s="24">
        <v>2.8022791329561814E-2</v>
      </c>
      <c r="D40" s="64">
        <f t="shared" si="9"/>
        <v>3.2443173753472498E-3</v>
      </c>
      <c r="E40" s="186">
        <f t="shared" si="10"/>
        <v>0.99675568262465264</v>
      </c>
      <c r="G40" s="182">
        <f>B$42</f>
        <v>0</v>
      </c>
      <c r="H40" s="183">
        <f t="shared" si="0"/>
        <v>0</v>
      </c>
      <c r="I40" s="64">
        <f t="shared" si="3"/>
        <v>6.5052130349130266E-18</v>
      </c>
      <c r="J40" s="64">
        <f t="shared" si="4"/>
        <v>0.99999999999999989</v>
      </c>
      <c r="K40" s="184">
        <f>G35</f>
        <v>2.3E-2</v>
      </c>
      <c r="L40" s="184">
        <f>H35</f>
        <v>0.181073463511568</v>
      </c>
      <c r="M40" s="185">
        <f t="shared" si="11"/>
        <v>0.20534501287588458</v>
      </c>
      <c r="N40" s="185">
        <f t="shared" si="12"/>
        <v>0.79465498712411531</v>
      </c>
      <c r="O40" s="180"/>
      <c r="Q40" s="182">
        <f>B$42</f>
        <v>0</v>
      </c>
      <c r="R40" s="183">
        <f t="shared" si="1"/>
        <v>0</v>
      </c>
      <c r="S40" s="64">
        <f t="shared" si="5"/>
        <v>0</v>
      </c>
      <c r="T40" s="64">
        <f t="shared" si="6"/>
        <v>0.99999999999999989</v>
      </c>
      <c r="U40" s="184">
        <f>Q35</f>
        <v>2.3E-2</v>
      </c>
      <c r="V40" s="184">
        <f>R35</f>
        <v>0.181073463511568</v>
      </c>
      <c r="W40" s="185">
        <f t="shared" si="13"/>
        <v>0.20534501287588458</v>
      </c>
      <c r="X40" s="185">
        <f t="shared" si="14"/>
        <v>0.79465498712411531</v>
      </c>
      <c r="Y40" s="180"/>
      <c r="AA40" s="182">
        <f>B$42</f>
        <v>0</v>
      </c>
      <c r="AB40" s="183">
        <f t="shared" si="2"/>
        <v>0</v>
      </c>
      <c r="AC40" s="64">
        <f t="shared" si="7"/>
        <v>-2.688821387764051E-17</v>
      </c>
      <c r="AD40" s="64">
        <f t="shared" si="8"/>
        <v>1</v>
      </c>
      <c r="AE40" s="184">
        <f>AA35</f>
        <v>2.3E-2</v>
      </c>
      <c r="AF40" s="184">
        <f>AB35</f>
        <v>0.18317197243190023</v>
      </c>
      <c r="AG40" s="185">
        <f t="shared" si="15"/>
        <v>0.20772481128979323</v>
      </c>
      <c r="AH40" s="185">
        <f t="shared" si="16"/>
        <v>0.79227518871020675</v>
      </c>
      <c r="AI40" s="180"/>
    </row>
    <row r="41" spans="2:49" ht="11.1" customHeight="1">
      <c r="B41" s="187">
        <f>'Flowsheet Balance'!C49</f>
        <v>0</v>
      </c>
      <c r="C41" s="24">
        <v>3.2443173753472433E-3</v>
      </c>
      <c r="D41" s="64">
        <f t="shared" si="9"/>
        <v>6.5052130349130266E-18</v>
      </c>
      <c r="E41" s="186">
        <f t="shared" si="10"/>
        <v>0.99999999999999989</v>
      </c>
      <c r="G41" s="182">
        <f>B$43</f>
        <v>0</v>
      </c>
      <c r="H41" s="183">
        <f t="shared" si="0"/>
        <v>0</v>
      </c>
      <c r="I41" s="64">
        <f t="shared" si="3"/>
        <v>6.5052130349130266E-18</v>
      </c>
      <c r="J41" s="64">
        <f t="shared" si="4"/>
        <v>0.99999999999999989</v>
      </c>
      <c r="K41" s="184">
        <f>G34</f>
        <v>4.7E-2</v>
      </c>
      <c r="L41" s="184">
        <f>H34</f>
        <v>0.38445160897864833</v>
      </c>
      <c r="M41" s="185">
        <f t="shared" si="11"/>
        <v>0.38641847638745258</v>
      </c>
      <c r="N41" s="185">
        <f t="shared" si="12"/>
        <v>0.61358152361254736</v>
      </c>
      <c r="O41" s="180"/>
      <c r="Q41" s="182">
        <f>B$43</f>
        <v>0</v>
      </c>
      <c r="R41" s="183">
        <f t="shared" si="1"/>
        <v>0</v>
      </c>
      <c r="S41" s="64">
        <f t="shared" si="5"/>
        <v>0</v>
      </c>
      <c r="T41" s="64">
        <f t="shared" si="6"/>
        <v>0.99999999999999989</v>
      </c>
      <c r="U41" s="184">
        <f>Q34</f>
        <v>4.7E-2</v>
      </c>
      <c r="V41" s="184">
        <f>R34</f>
        <v>0.38445160897864833</v>
      </c>
      <c r="W41" s="185">
        <f t="shared" si="13"/>
        <v>0.38641847638745258</v>
      </c>
      <c r="X41" s="185">
        <f t="shared" si="14"/>
        <v>0.61358152361254736</v>
      </c>
      <c r="Y41" s="180"/>
      <c r="AA41" s="182">
        <f>B$43</f>
        <v>0</v>
      </c>
      <c r="AB41" s="183">
        <f t="shared" si="2"/>
        <v>0</v>
      </c>
      <c r="AC41" s="64">
        <f t="shared" si="7"/>
        <v>-2.688821387764051E-17</v>
      </c>
      <c r="AD41" s="64">
        <f t="shared" si="8"/>
        <v>1</v>
      </c>
      <c r="AE41" s="184">
        <f>AA34</f>
        <v>4.7E-2</v>
      </c>
      <c r="AF41" s="184">
        <f>AB34</f>
        <v>0.38890712175910735</v>
      </c>
      <c r="AG41" s="185">
        <f t="shared" si="15"/>
        <v>0.39089678372169345</v>
      </c>
      <c r="AH41" s="185">
        <f t="shared" si="16"/>
        <v>0.60910321627830655</v>
      </c>
      <c r="AI41" s="180"/>
    </row>
    <row r="42" spans="2:49" ht="11.1" customHeight="1">
      <c r="B42" s="187">
        <f>'Flowsheet Balance'!C50</f>
        <v>0</v>
      </c>
      <c r="C42" s="190">
        <v>0</v>
      </c>
      <c r="D42" s="64">
        <f t="shared" si="9"/>
        <v>6.5052130349130266E-18</v>
      </c>
      <c r="E42" s="186">
        <f t="shared" si="10"/>
        <v>0.99999999999999989</v>
      </c>
      <c r="G42" s="182">
        <f>B$44</f>
        <v>0</v>
      </c>
      <c r="H42" s="183">
        <f t="shared" si="0"/>
        <v>0</v>
      </c>
      <c r="I42" s="64">
        <f t="shared" si="3"/>
        <v>6.5052130349130266E-18</v>
      </c>
      <c r="J42" s="64">
        <f t="shared" si="4"/>
        <v>0.99999999999999989</v>
      </c>
      <c r="K42" s="184">
        <f>G33</f>
        <v>9.4E-2</v>
      </c>
      <c r="L42" s="184">
        <f>H33</f>
        <v>0.22912991463389906</v>
      </c>
      <c r="M42" s="185">
        <f t="shared" si="11"/>
        <v>0.77087008536610091</v>
      </c>
      <c r="N42" s="185">
        <f t="shared" si="12"/>
        <v>0.22912991463389906</v>
      </c>
      <c r="O42" s="180"/>
      <c r="Q42" s="182">
        <f>B$44</f>
        <v>0</v>
      </c>
      <c r="R42" s="183">
        <f t="shared" si="1"/>
        <v>0</v>
      </c>
      <c r="S42" s="64">
        <f t="shared" si="5"/>
        <v>0</v>
      </c>
      <c r="T42" s="64">
        <f t="shared" si="6"/>
        <v>0.99999999999999989</v>
      </c>
      <c r="U42" s="184">
        <f>Q33</f>
        <v>9.4E-2</v>
      </c>
      <c r="V42" s="184">
        <f>R33</f>
        <v>0.22912991463389906</v>
      </c>
      <c r="W42" s="185">
        <f t="shared" si="13"/>
        <v>0.77087008536610091</v>
      </c>
      <c r="X42" s="185">
        <f t="shared" si="14"/>
        <v>0.22912991463389906</v>
      </c>
      <c r="Y42" s="180"/>
      <c r="AA42" s="182">
        <f>B$44</f>
        <v>0</v>
      </c>
      <c r="AB42" s="183">
        <f t="shared" si="2"/>
        <v>0</v>
      </c>
      <c r="AC42" s="64">
        <f t="shared" si="7"/>
        <v>-2.688821387764051E-17</v>
      </c>
      <c r="AD42" s="64">
        <f t="shared" si="8"/>
        <v>1</v>
      </c>
      <c r="AE42" s="184">
        <f>AA33</f>
        <v>9.4E-2</v>
      </c>
      <c r="AF42" s="184">
        <f>AB33</f>
        <v>0.22019609451919919</v>
      </c>
      <c r="AG42" s="185">
        <f t="shared" si="15"/>
        <v>0.77980390548080081</v>
      </c>
      <c r="AH42" s="185">
        <f t="shared" si="16"/>
        <v>0.22019609451919919</v>
      </c>
      <c r="AI42" s="180"/>
    </row>
    <row r="43" spans="2:49" ht="11.1" customHeight="1" thickBot="1">
      <c r="B43" s="187">
        <f>'Flowsheet Balance'!C51</f>
        <v>0</v>
      </c>
      <c r="C43" s="190">
        <v>0</v>
      </c>
      <c r="D43" s="64">
        <f t="shared" si="9"/>
        <v>6.5052130349130266E-18</v>
      </c>
      <c r="E43" s="186">
        <f t="shared" si="10"/>
        <v>0.99999999999999989</v>
      </c>
      <c r="G43" s="182">
        <f>B$45</f>
        <v>0</v>
      </c>
      <c r="H43" s="183">
        <f t="shared" si="0"/>
        <v>0</v>
      </c>
      <c r="I43" s="64">
        <f t="shared" si="3"/>
        <v>6.5052130349130266E-18</v>
      </c>
      <c r="J43" s="64">
        <f t="shared" si="4"/>
        <v>0.99999999999999989</v>
      </c>
      <c r="K43" s="184">
        <f>G32</f>
        <v>0.187</v>
      </c>
      <c r="L43" s="184">
        <f>H32</f>
        <v>0</v>
      </c>
      <c r="M43" s="185">
        <f>1-L43</f>
        <v>1</v>
      </c>
      <c r="N43" s="185">
        <f>L43</f>
        <v>0</v>
      </c>
      <c r="O43" s="180"/>
      <c r="Q43" s="182">
        <f>B$45</f>
        <v>0</v>
      </c>
      <c r="R43" s="183">
        <f t="shared" si="1"/>
        <v>0</v>
      </c>
      <c r="S43" s="64">
        <f t="shared" si="5"/>
        <v>0</v>
      </c>
      <c r="T43" s="64">
        <f t="shared" si="6"/>
        <v>0.99999999999999989</v>
      </c>
      <c r="U43" s="184">
        <f>Q32</f>
        <v>0.187</v>
      </c>
      <c r="V43" s="184">
        <f>R32</f>
        <v>0</v>
      </c>
      <c r="W43" s="185">
        <f>1-V43</f>
        <v>1</v>
      </c>
      <c r="X43" s="185">
        <f>V43</f>
        <v>0</v>
      </c>
      <c r="Y43" s="180"/>
      <c r="AA43" s="182">
        <f>B$45</f>
        <v>0</v>
      </c>
      <c r="AB43" s="183">
        <f t="shared" si="2"/>
        <v>0</v>
      </c>
      <c r="AC43" s="64">
        <f t="shared" si="7"/>
        <v>-2.688821387764051E-17</v>
      </c>
      <c r="AD43" s="64">
        <f t="shared" si="8"/>
        <v>1</v>
      </c>
      <c r="AE43" s="184">
        <f>AA32</f>
        <v>0.187</v>
      </c>
      <c r="AF43" s="184">
        <f>AB32</f>
        <v>0</v>
      </c>
      <c r="AG43" s="185">
        <f>1-AF43</f>
        <v>1</v>
      </c>
      <c r="AH43" s="185">
        <f>AF43</f>
        <v>0</v>
      </c>
      <c r="AI43" s="180"/>
    </row>
    <row r="44" spans="2:49" ht="11.1" customHeight="1">
      <c r="B44" s="187">
        <f>'Flowsheet Balance'!C52</f>
        <v>0</v>
      </c>
      <c r="C44" s="190">
        <v>0</v>
      </c>
      <c r="D44" s="64">
        <f t="shared" si="9"/>
        <v>6.5052130349130266E-18</v>
      </c>
      <c r="E44" s="186">
        <f t="shared" si="10"/>
        <v>0.99999999999999989</v>
      </c>
      <c r="G44" s="191" t="s">
        <v>107</v>
      </c>
      <c r="H44" s="192"/>
      <c r="I44" s="192"/>
      <c r="J44" s="192"/>
      <c r="K44" s="18"/>
      <c r="L44" s="18"/>
      <c r="M44" s="18"/>
      <c r="N44" s="18"/>
      <c r="O44" s="180"/>
      <c r="Q44" s="191" t="s">
        <v>107</v>
      </c>
      <c r="R44" s="192"/>
      <c r="S44" s="192"/>
      <c r="T44" s="192"/>
      <c r="U44" s="18"/>
      <c r="V44" s="18"/>
      <c r="W44" s="18"/>
      <c r="X44" s="18"/>
      <c r="Y44" s="180"/>
      <c r="AA44" s="191" t="s">
        <v>107</v>
      </c>
      <c r="AB44" s="192"/>
      <c r="AC44" s="192"/>
      <c r="AD44" s="192"/>
      <c r="AE44" s="18"/>
      <c r="AF44" s="18"/>
      <c r="AG44" s="18"/>
      <c r="AH44" s="18"/>
      <c r="AI44" s="180"/>
    </row>
    <row r="45" spans="2:49" ht="11.1" customHeight="1" thickBot="1">
      <c r="B45" s="278">
        <f>'Flowsheet Balance'!C53</f>
        <v>0</v>
      </c>
      <c r="C45" s="194"/>
      <c r="D45" s="195">
        <f t="shared" si="9"/>
        <v>6.5052130349130266E-18</v>
      </c>
      <c r="E45" s="196">
        <f t="shared" si="10"/>
        <v>0.99999999999999989</v>
      </c>
      <c r="G45" s="197"/>
      <c r="H45" s="198"/>
      <c r="I45" s="198"/>
      <c r="J45" s="198"/>
      <c r="K45" s="198"/>
      <c r="L45" s="198"/>
      <c r="M45" s="198"/>
      <c r="N45" s="198"/>
      <c r="O45" s="199"/>
      <c r="Q45" s="197"/>
      <c r="R45" s="198"/>
      <c r="S45" s="198"/>
      <c r="T45" s="198"/>
      <c r="U45" s="198"/>
      <c r="V45" s="198"/>
      <c r="W45" s="198"/>
      <c r="X45" s="198"/>
      <c r="Y45" s="199"/>
      <c r="AA45" s="197"/>
      <c r="AB45" s="198"/>
      <c r="AC45" s="198"/>
      <c r="AD45" s="198"/>
      <c r="AE45" s="198"/>
      <c r="AF45" s="198"/>
      <c r="AG45" s="198"/>
      <c r="AH45" s="198"/>
      <c r="AI45" s="199"/>
    </row>
    <row r="46" spans="2:49" ht="11.1" customHeight="1" thickTop="1">
      <c r="B46" s="100"/>
      <c r="C46" s="100"/>
      <c r="D46" s="100"/>
      <c r="E46" s="100"/>
    </row>
    <row r="47" spans="2:49" ht="11.1" customHeight="1">
      <c r="B47" s="104" t="s">
        <v>160</v>
      </c>
      <c r="C47" s="100"/>
      <c r="D47" s="100"/>
      <c r="E47" s="100"/>
      <c r="G47" s="104"/>
      <c r="H47" s="200"/>
      <c r="I47" s="200"/>
      <c r="J47" s="200">
        <v>1</v>
      </c>
      <c r="K47" s="104"/>
      <c r="L47" s="104"/>
      <c r="M47" s="104"/>
      <c r="N47" s="104"/>
      <c r="O47" s="184"/>
      <c r="Q47" s="104"/>
      <c r="R47" s="200"/>
      <c r="S47" s="200"/>
      <c r="T47" s="200">
        <v>1</v>
      </c>
      <c r="U47" s="104"/>
      <c r="V47" s="104"/>
      <c r="W47" s="104"/>
      <c r="X47" s="104"/>
      <c r="Y47" s="184"/>
      <c r="AA47" s="104"/>
      <c r="AB47" s="200"/>
      <c r="AC47" s="200"/>
      <c r="AD47" s="200">
        <v>1</v>
      </c>
      <c r="AE47" s="104"/>
      <c r="AF47" s="104"/>
      <c r="AG47" s="104"/>
      <c r="AH47" s="104"/>
      <c r="AI47" s="184"/>
      <c r="AK47" s="104"/>
      <c r="AL47" s="104"/>
      <c r="AM47" s="104"/>
      <c r="AN47" s="104"/>
      <c r="AS47" s="104"/>
      <c r="AT47" s="104"/>
      <c r="AU47" s="104"/>
      <c r="AV47" s="104"/>
      <c r="AW47" s="201"/>
    </row>
    <row r="48" spans="2:49" ht="14.4">
      <c r="B48" s="104" t="s">
        <v>161</v>
      </c>
      <c r="C48" s="100"/>
      <c r="D48" s="100"/>
      <c r="E48" s="100"/>
      <c r="G48" s="104"/>
      <c r="H48" s="200" t="s">
        <v>162</v>
      </c>
      <c r="I48" s="200">
        <f>I49+I50</f>
        <v>0.44999999999999996</v>
      </c>
      <c r="J48" s="200">
        <f>K20</f>
        <v>0.95</v>
      </c>
      <c r="K48" s="184"/>
      <c r="M48" s="104"/>
      <c r="N48" s="104"/>
      <c r="Q48" s="104"/>
      <c r="R48" s="200" t="s">
        <v>162</v>
      </c>
      <c r="S48" s="200">
        <f>S49+S50</f>
        <v>0.23549999999999999</v>
      </c>
      <c r="T48" s="200">
        <f>U20</f>
        <v>0.95</v>
      </c>
      <c r="U48" s="184"/>
      <c r="W48" s="104"/>
      <c r="X48" s="104"/>
      <c r="AA48" s="104"/>
      <c r="AB48" s="200" t="s">
        <v>162</v>
      </c>
      <c r="AC48" s="200">
        <f>AC49+AC50</f>
        <v>5.8499999999999996E-2</v>
      </c>
      <c r="AD48" s="200">
        <f>AE20</f>
        <v>0.95</v>
      </c>
      <c r="AE48" s="184"/>
      <c r="AG48" s="104"/>
      <c r="AH48" s="104"/>
      <c r="AS48" s="104"/>
      <c r="AT48" s="104"/>
      <c r="AU48" s="104"/>
      <c r="AV48" s="104"/>
      <c r="AW48" s="104"/>
    </row>
    <row r="49" spans="2:49" ht="11.1" customHeight="1">
      <c r="B49" s="104" t="s">
        <v>163</v>
      </c>
      <c r="C49" s="100"/>
      <c r="D49" s="100"/>
      <c r="E49" s="100"/>
      <c r="G49" s="104"/>
      <c r="H49" s="200" t="s">
        <v>164</v>
      </c>
      <c r="I49" s="200">
        <f>K18</f>
        <v>0.3</v>
      </c>
      <c r="J49" s="200">
        <f>0.5</f>
        <v>0.5</v>
      </c>
      <c r="K49" s="184"/>
      <c r="M49" s="104"/>
      <c r="N49" s="104"/>
      <c r="Q49" s="104"/>
      <c r="R49" s="200" t="s">
        <v>164</v>
      </c>
      <c r="S49" s="200">
        <f>U18</f>
        <v>0.157</v>
      </c>
      <c r="T49" s="200">
        <f>0.5</f>
        <v>0.5</v>
      </c>
      <c r="U49" s="184"/>
      <c r="W49" s="104"/>
      <c r="X49" s="104"/>
      <c r="AA49" s="104"/>
      <c r="AB49" s="200" t="s">
        <v>164</v>
      </c>
      <c r="AC49" s="200">
        <f>AE18</f>
        <v>3.9E-2</v>
      </c>
      <c r="AD49" s="200">
        <f>0.5</f>
        <v>0.5</v>
      </c>
      <c r="AE49" s="184"/>
      <c r="AG49" s="104"/>
      <c r="AH49" s="104"/>
      <c r="AK49" s="104"/>
      <c r="AL49" s="104"/>
      <c r="AM49" s="104"/>
      <c r="AN49" s="104"/>
      <c r="AS49" s="104"/>
      <c r="AT49" s="104"/>
      <c r="AU49" s="104"/>
      <c r="AV49" s="104"/>
      <c r="AW49" s="201"/>
    </row>
    <row r="50" spans="2:49" ht="11.25" customHeight="1">
      <c r="B50" s="104" t="s">
        <v>165</v>
      </c>
      <c r="C50" s="100"/>
      <c r="D50" s="100"/>
      <c r="E50" s="100"/>
      <c r="G50" s="104"/>
      <c r="H50" s="200" t="s">
        <v>166</v>
      </c>
      <c r="I50" s="200">
        <f>I49/2</f>
        <v>0.15</v>
      </c>
      <c r="J50" s="200">
        <f>K20</f>
        <v>0.95</v>
      </c>
      <c r="K50" s="184"/>
      <c r="M50" s="104"/>
      <c r="N50" s="104"/>
      <c r="Q50" s="104"/>
      <c r="R50" s="200" t="s">
        <v>166</v>
      </c>
      <c r="S50" s="200">
        <f>S49/2</f>
        <v>7.85E-2</v>
      </c>
      <c r="T50" s="200">
        <f>U20</f>
        <v>0.95</v>
      </c>
      <c r="U50" s="184"/>
      <c r="W50" s="104"/>
      <c r="X50" s="104"/>
      <c r="AA50" s="104"/>
      <c r="AB50" s="200" t="s">
        <v>166</v>
      </c>
      <c r="AC50" s="200">
        <f>AC49/2</f>
        <v>1.95E-2</v>
      </c>
      <c r="AD50" s="200">
        <f>AE20</f>
        <v>0.95</v>
      </c>
      <c r="AE50" s="184"/>
      <c r="AG50" s="104"/>
      <c r="AH50" s="104"/>
      <c r="AS50" s="184"/>
      <c r="AT50" s="104"/>
      <c r="AU50" s="104"/>
      <c r="AV50" s="104"/>
      <c r="AW50" s="201"/>
    </row>
    <row r="51" spans="2:49" ht="11.25" customHeight="1">
      <c r="B51" s="178" t="s">
        <v>35</v>
      </c>
      <c r="C51" s="214" t="s">
        <v>40</v>
      </c>
      <c r="D51" s="212" t="s">
        <v>173</v>
      </c>
      <c r="E51" s="212" t="s">
        <v>172</v>
      </c>
      <c r="G51" s="104"/>
      <c r="H51" s="184"/>
      <c r="I51" s="184"/>
      <c r="J51" s="184">
        <v>1</v>
      </c>
      <c r="K51" s="184"/>
      <c r="M51" s="104"/>
      <c r="N51" s="104"/>
      <c r="Q51" s="104"/>
      <c r="R51" s="200"/>
      <c r="S51" s="200"/>
      <c r="T51" s="200">
        <v>1</v>
      </c>
      <c r="U51" s="184"/>
      <c r="W51" s="104"/>
      <c r="X51" s="104"/>
      <c r="AA51" s="104"/>
      <c r="AB51" s="200"/>
      <c r="AC51" s="200"/>
      <c r="AD51" s="200">
        <v>1</v>
      </c>
      <c r="AE51" s="184"/>
      <c r="AG51" s="104"/>
      <c r="AH51" s="104"/>
      <c r="AS51" s="184"/>
      <c r="AT51" s="104"/>
      <c r="AU51" s="104"/>
      <c r="AV51" s="104"/>
      <c r="AW51" s="201"/>
    </row>
    <row r="52" spans="2:49" ht="11.25" customHeight="1">
      <c r="B52" s="178" t="s">
        <v>159</v>
      </c>
      <c r="C52" s="214" t="s">
        <v>57</v>
      </c>
      <c r="D52" s="213" t="s">
        <v>57</v>
      </c>
      <c r="E52" s="213" t="s">
        <v>57</v>
      </c>
      <c r="G52" s="104"/>
      <c r="H52" s="202" t="s">
        <v>35</v>
      </c>
      <c r="I52" s="202" t="s">
        <v>156</v>
      </c>
      <c r="J52" s="202" t="s">
        <v>57</v>
      </c>
      <c r="K52" s="202" t="s">
        <v>167</v>
      </c>
      <c r="L52" s="202" t="s">
        <v>168</v>
      </c>
      <c r="M52" s="202" t="s">
        <v>169</v>
      </c>
      <c r="N52" s="202" t="s">
        <v>170</v>
      </c>
      <c r="O52" s="200" t="s">
        <v>171</v>
      </c>
      <c r="Q52" s="104"/>
      <c r="R52" s="202" t="s">
        <v>35</v>
      </c>
      <c r="S52" s="202" t="s">
        <v>156</v>
      </c>
      <c r="T52" s="202" t="s">
        <v>57</v>
      </c>
      <c r="U52" s="202" t="s">
        <v>167</v>
      </c>
      <c r="V52" s="202" t="s">
        <v>168</v>
      </c>
      <c r="W52" s="202" t="s">
        <v>169</v>
      </c>
      <c r="X52" s="202" t="s">
        <v>170</v>
      </c>
      <c r="Y52" s="200" t="s">
        <v>171</v>
      </c>
      <c r="AA52" s="104"/>
      <c r="AB52" s="202" t="s">
        <v>35</v>
      </c>
      <c r="AC52" s="202" t="s">
        <v>156</v>
      </c>
      <c r="AD52" s="202" t="s">
        <v>57</v>
      </c>
      <c r="AE52" s="202" t="s">
        <v>167</v>
      </c>
      <c r="AF52" s="202" t="s">
        <v>168</v>
      </c>
      <c r="AG52" s="202" t="s">
        <v>169</v>
      </c>
      <c r="AH52" s="202" t="s">
        <v>170</v>
      </c>
      <c r="AI52" s="200" t="s">
        <v>171</v>
      </c>
      <c r="AS52" s="184"/>
      <c r="AT52" s="104"/>
      <c r="AU52" s="104"/>
      <c r="AV52" s="104"/>
      <c r="AW52" s="104"/>
    </row>
    <row r="53" spans="2:49" ht="11.25" customHeight="1">
      <c r="B53" s="187">
        <f>B34</f>
        <v>0.187</v>
      </c>
      <c r="C53" s="215">
        <f>'Flowsheet Balance'!E42</f>
        <v>0</v>
      </c>
      <c r="D53" s="200">
        <f>N53+X53+AH53</f>
        <v>3.0000000000000001E-6</v>
      </c>
      <c r="E53" s="200">
        <f>AF53</f>
        <v>0</v>
      </c>
      <c r="G53" s="104">
        <v>1</v>
      </c>
      <c r="H53" s="200">
        <f t="shared" ref="H53:I64" si="17">G32</f>
        <v>0.187</v>
      </c>
      <c r="I53" s="200">
        <f t="shared" si="17"/>
        <v>0</v>
      </c>
      <c r="J53" s="202">
        <f t="shared" ref="J53:J64" si="18">I53*K$14</f>
        <v>0</v>
      </c>
      <c r="K53" s="200">
        <f t="shared" ref="K53:K64" si="19">IF(OR(H53&gt;I$48,H53&lt;I$50),IF(H53&gt;I$48,0,1),IF(H53=I$49,J$49,J$48))</f>
        <v>0.95</v>
      </c>
      <c r="L53" s="200">
        <f t="shared" ref="L53:L64" si="20">J53*K53</f>
        <v>0</v>
      </c>
      <c r="M53" s="200">
        <f t="shared" ref="M53:M64" si="21">L53/L$65</f>
        <v>0</v>
      </c>
      <c r="N53" s="200">
        <v>9.9999999999999995E-7</v>
      </c>
      <c r="O53" s="200">
        <f t="shared" ref="O53:O64" si="22">N53/N$65</f>
        <v>1</v>
      </c>
      <c r="Q53" s="104">
        <v>1</v>
      </c>
      <c r="R53" s="200">
        <f t="shared" ref="R53:S64" si="23">Q32</f>
        <v>0.187</v>
      </c>
      <c r="S53" s="200">
        <f t="shared" si="23"/>
        <v>0</v>
      </c>
      <c r="T53" s="202">
        <f t="shared" ref="T53:T64" si="24">S53*U$14</f>
        <v>0</v>
      </c>
      <c r="U53" s="200">
        <f t="shared" ref="U53:U64" si="25">IF(OR(R53&gt;S$48,R53&lt;S$50),IF(R53&gt;S$48,0,1),IF(R53=S$49,T$49,T$48))</f>
        <v>0.95</v>
      </c>
      <c r="V53" s="200">
        <f>T53*U53</f>
        <v>0</v>
      </c>
      <c r="W53" s="200">
        <f t="shared" ref="W53:W64" si="26">V53/V$65</f>
        <v>0</v>
      </c>
      <c r="X53" s="200">
        <v>9.9999999999999995E-7</v>
      </c>
      <c r="Y53" s="200">
        <f t="shared" ref="Y53:Y63" si="27">X53/X$65</f>
        <v>2.9095566755716367E-7</v>
      </c>
      <c r="AA53" s="104">
        <v>1</v>
      </c>
      <c r="AB53" s="200">
        <f t="shared" ref="AB53:AC64" si="28">AA32</f>
        <v>0.187</v>
      </c>
      <c r="AC53" s="200">
        <f t="shared" si="28"/>
        <v>0</v>
      </c>
      <c r="AD53" s="202">
        <f t="shared" ref="AD53:AD64" si="29">AC53*AE$14</f>
        <v>0</v>
      </c>
      <c r="AE53" s="200">
        <f t="shared" ref="AE53:AE64" si="30">IF(OR(AB53&gt;AC$48,AB53&lt;AC$50),IF(AB53&gt;AC$48,0,1),IF(AB53=AC$49,AD$49,AD$48))</f>
        <v>0</v>
      </c>
      <c r="AF53" s="200">
        <f>AD53*AE53</f>
        <v>0</v>
      </c>
      <c r="AG53" s="200">
        <f t="shared" ref="AG53:AG64" si="31">AF53/V$65</f>
        <v>0</v>
      </c>
      <c r="AH53" s="200">
        <v>9.9999999999999995E-7</v>
      </c>
      <c r="AI53" s="200">
        <f t="shared" ref="AI53:AI63" si="32">AH53/X$65</f>
        <v>2.9095566755716367E-7</v>
      </c>
      <c r="AS53" s="184"/>
      <c r="AT53" s="104"/>
      <c r="AU53" s="104"/>
      <c r="AV53" s="104"/>
      <c r="AW53" s="104"/>
    </row>
    <row r="54" spans="2:49" ht="11.1" customHeight="1">
      <c r="B54" s="187">
        <f t="shared" ref="B54:B60" si="33">B35</f>
        <v>9.4E-2</v>
      </c>
      <c r="C54" s="215">
        <f>'Flowsheet Balance'!E43</f>
        <v>68.738974390169716</v>
      </c>
      <c r="D54" s="200">
        <f t="shared" ref="D54:D63" si="34">N54+X54+AH54</f>
        <v>68.738974390169716</v>
      </c>
      <c r="E54" s="200">
        <f t="shared" ref="E54:E63" si="35">AF54</f>
        <v>0</v>
      </c>
      <c r="G54" s="104">
        <f t="shared" ref="G54:G64" si="36">G53+1</f>
        <v>2</v>
      </c>
      <c r="H54" s="200">
        <f t="shared" si="17"/>
        <v>9.4E-2</v>
      </c>
      <c r="I54" s="200">
        <f t="shared" si="17"/>
        <v>0.22912991463389906</v>
      </c>
      <c r="J54" s="202">
        <f t="shared" si="18"/>
        <v>68.738974390169716</v>
      </c>
      <c r="K54" s="200">
        <f t="shared" si="19"/>
        <v>1</v>
      </c>
      <c r="L54" s="200">
        <f t="shared" si="20"/>
        <v>68.738974390169716</v>
      </c>
      <c r="M54" s="200">
        <f t="shared" si="21"/>
        <v>0.22912991463389906</v>
      </c>
      <c r="N54" s="200">
        <f t="shared" ref="N54:N64" si="37">J54-L54</f>
        <v>0</v>
      </c>
      <c r="O54" s="200">
        <f t="shared" si="22"/>
        <v>0</v>
      </c>
      <c r="Q54" s="104">
        <f t="shared" ref="Q54:Q64" si="38">Q53+1</f>
        <v>2</v>
      </c>
      <c r="R54" s="200">
        <f t="shared" si="23"/>
        <v>9.4E-2</v>
      </c>
      <c r="S54" s="200">
        <f t="shared" si="23"/>
        <v>0.22912991463389906</v>
      </c>
      <c r="T54" s="202">
        <f t="shared" si="24"/>
        <v>68.738974390169716</v>
      </c>
      <c r="U54" s="200">
        <f t="shared" si="25"/>
        <v>0.95</v>
      </c>
      <c r="V54" s="200">
        <f>T54*U54</f>
        <v>65.302025670661223</v>
      </c>
      <c r="W54" s="200">
        <f t="shared" si="26"/>
        <v>0.22019609451919919</v>
      </c>
      <c r="X54" s="200">
        <f t="shared" ref="X54:X64" si="39">T54-V54</f>
        <v>3.4369487195084929</v>
      </c>
      <c r="Y54" s="200">
        <f t="shared" si="27"/>
        <v>0.99999970904433244</v>
      </c>
      <c r="AA54" s="104">
        <f t="shared" ref="AA54:AA64" si="40">AA53+1</f>
        <v>2</v>
      </c>
      <c r="AB54" s="200">
        <f t="shared" si="28"/>
        <v>9.4E-2</v>
      </c>
      <c r="AC54" s="200">
        <f t="shared" si="28"/>
        <v>0.22019609451919919</v>
      </c>
      <c r="AD54" s="202">
        <f t="shared" si="29"/>
        <v>65.302025670661223</v>
      </c>
      <c r="AE54" s="200">
        <f t="shared" si="30"/>
        <v>0</v>
      </c>
      <c r="AF54" s="200">
        <f>AD54*AE54</f>
        <v>0</v>
      </c>
      <c r="AG54" s="200">
        <f t="shared" si="31"/>
        <v>0</v>
      </c>
      <c r="AH54" s="200">
        <f t="shared" ref="AH54:AH64" si="41">AD54-AF54</f>
        <v>65.302025670661223</v>
      </c>
      <c r="AI54" s="200">
        <f t="shared" si="32"/>
        <v>18.999994471842275</v>
      </c>
      <c r="AS54" s="184"/>
      <c r="AT54"/>
      <c r="AU54"/>
      <c r="AV54"/>
      <c r="AW54"/>
    </row>
    <row r="55" spans="2:49" ht="11.1" customHeight="1">
      <c r="B55" s="187">
        <f t="shared" si="33"/>
        <v>4.7E-2</v>
      </c>
      <c r="C55" s="215">
        <f>'Flowsheet Balance'!E44</f>
        <v>115.3354826935945</v>
      </c>
      <c r="D55" s="200">
        <f t="shared" si="34"/>
        <v>5.7667741346797357</v>
      </c>
      <c r="E55" s="200">
        <f t="shared" si="35"/>
        <v>109.56870855891476</v>
      </c>
      <c r="G55" s="104">
        <f t="shared" si="36"/>
        <v>3</v>
      </c>
      <c r="H55" s="200">
        <f t="shared" si="17"/>
        <v>4.7E-2</v>
      </c>
      <c r="I55" s="200">
        <f t="shared" si="17"/>
        <v>0.38445160897864833</v>
      </c>
      <c r="J55" s="202">
        <f t="shared" si="18"/>
        <v>115.3354826935945</v>
      </c>
      <c r="K55" s="200">
        <f t="shared" si="19"/>
        <v>1</v>
      </c>
      <c r="L55" s="200">
        <f t="shared" si="20"/>
        <v>115.3354826935945</v>
      </c>
      <c r="M55" s="200">
        <f t="shared" si="21"/>
        <v>0.38445160897864833</v>
      </c>
      <c r="N55" s="200">
        <f t="shared" si="37"/>
        <v>0</v>
      </c>
      <c r="O55" s="200">
        <f t="shared" si="22"/>
        <v>0</v>
      </c>
      <c r="Q55" s="104">
        <f t="shared" si="38"/>
        <v>3</v>
      </c>
      <c r="R55" s="200">
        <f t="shared" si="23"/>
        <v>4.7E-2</v>
      </c>
      <c r="S55" s="200">
        <f t="shared" si="23"/>
        <v>0.38445160897864833</v>
      </c>
      <c r="T55" s="202">
        <f t="shared" si="24"/>
        <v>115.3354826935945</v>
      </c>
      <c r="U55" s="200">
        <f t="shared" si="25"/>
        <v>1</v>
      </c>
      <c r="V55" s="200">
        <f>T55*U55</f>
        <v>115.3354826935945</v>
      </c>
      <c r="W55" s="200">
        <f t="shared" si="26"/>
        <v>0.38890712175910735</v>
      </c>
      <c r="X55" s="200">
        <f t="shared" si="39"/>
        <v>0</v>
      </c>
      <c r="Y55" s="200">
        <f t="shared" si="27"/>
        <v>0</v>
      </c>
      <c r="AA55" s="104">
        <f t="shared" si="40"/>
        <v>3</v>
      </c>
      <c r="AB55" s="200">
        <f t="shared" si="28"/>
        <v>4.7E-2</v>
      </c>
      <c r="AC55" s="200">
        <f t="shared" si="28"/>
        <v>0.38890712175910735</v>
      </c>
      <c r="AD55" s="202">
        <f t="shared" si="29"/>
        <v>115.3354826935945</v>
      </c>
      <c r="AE55" s="200">
        <f t="shared" si="30"/>
        <v>0.95</v>
      </c>
      <c r="AF55" s="200">
        <f>AD55*AE55</f>
        <v>109.56870855891476</v>
      </c>
      <c r="AG55" s="200">
        <f t="shared" si="31"/>
        <v>0.36946176567115196</v>
      </c>
      <c r="AH55" s="200">
        <f t="shared" si="41"/>
        <v>5.7667741346797357</v>
      </c>
      <c r="AI55" s="200">
        <f t="shared" si="32"/>
        <v>1.6778756180071273</v>
      </c>
      <c r="AS55" s="184"/>
      <c r="AU55"/>
      <c r="AV55"/>
      <c r="AW55"/>
    </row>
    <row r="56" spans="2:49" ht="11.1" customHeight="1">
      <c r="B56" s="187">
        <f t="shared" si="33"/>
        <v>2.3E-2</v>
      </c>
      <c r="C56" s="215">
        <f>'Flowsheet Balance'!E45</f>
        <v>54.322039053470398</v>
      </c>
      <c r="D56" s="200">
        <f t="shared" si="34"/>
        <v>2.7161019526735188</v>
      </c>
      <c r="E56" s="200">
        <f t="shared" si="35"/>
        <v>51.605937100796879</v>
      </c>
      <c r="G56" s="104">
        <f t="shared" si="36"/>
        <v>4</v>
      </c>
      <c r="H56" s="200">
        <f t="shared" si="17"/>
        <v>2.3E-2</v>
      </c>
      <c r="I56" s="200">
        <f t="shared" si="17"/>
        <v>0.181073463511568</v>
      </c>
      <c r="J56" s="202">
        <f t="shared" si="18"/>
        <v>54.322039053470398</v>
      </c>
      <c r="K56" s="200">
        <f t="shared" si="19"/>
        <v>1</v>
      </c>
      <c r="L56" s="200">
        <f t="shared" si="20"/>
        <v>54.322039053470398</v>
      </c>
      <c r="M56" s="200">
        <f t="shared" si="21"/>
        <v>0.181073463511568</v>
      </c>
      <c r="N56" s="200">
        <f t="shared" si="37"/>
        <v>0</v>
      </c>
      <c r="O56" s="200">
        <f t="shared" si="22"/>
        <v>0</v>
      </c>
      <c r="Q56" s="104">
        <f t="shared" si="38"/>
        <v>4</v>
      </c>
      <c r="R56" s="200">
        <f t="shared" si="23"/>
        <v>2.3E-2</v>
      </c>
      <c r="S56" s="200">
        <f t="shared" si="23"/>
        <v>0.181073463511568</v>
      </c>
      <c r="T56" s="202">
        <f t="shared" si="24"/>
        <v>54.322039053470398</v>
      </c>
      <c r="U56" s="200">
        <f t="shared" si="25"/>
        <v>1</v>
      </c>
      <c r="V56" s="200">
        <f t="shared" ref="V56:V64" si="42">T56*U56</f>
        <v>54.322039053470398</v>
      </c>
      <c r="W56" s="200">
        <f t="shared" si="26"/>
        <v>0.18317197243190023</v>
      </c>
      <c r="X56" s="200">
        <f t="shared" si="39"/>
        <v>0</v>
      </c>
      <c r="Y56" s="200">
        <f t="shared" si="27"/>
        <v>0</v>
      </c>
      <c r="AA56" s="104">
        <f t="shared" si="40"/>
        <v>4</v>
      </c>
      <c r="AB56" s="200">
        <f t="shared" si="28"/>
        <v>2.3E-2</v>
      </c>
      <c r="AC56" s="200">
        <f t="shared" si="28"/>
        <v>0.18317197243190023</v>
      </c>
      <c r="AD56" s="202">
        <f t="shared" si="29"/>
        <v>54.322039053470398</v>
      </c>
      <c r="AE56" s="200">
        <f t="shared" si="30"/>
        <v>0.95</v>
      </c>
      <c r="AF56" s="200">
        <f t="shared" ref="AF56:AF64" si="43">AD56*AE56</f>
        <v>51.605937100796879</v>
      </c>
      <c r="AG56" s="200">
        <f t="shared" si="31"/>
        <v>0.17401337381030521</v>
      </c>
      <c r="AH56" s="200">
        <f t="shared" si="41"/>
        <v>2.7161019526735188</v>
      </c>
      <c r="AI56" s="200">
        <f t="shared" si="32"/>
        <v>0.7902652567934394</v>
      </c>
      <c r="AS56" s="184"/>
      <c r="AU56"/>
      <c r="AV56"/>
      <c r="AW56"/>
    </row>
    <row r="57" spans="2:49" ht="11.1" customHeight="1">
      <c r="B57" s="187">
        <f t="shared" si="33"/>
        <v>1.2E-2</v>
      </c>
      <c r="C57" s="215">
        <f>'Flowsheet Balance'!E46</f>
        <v>30.762211813370641</v>
      </c>
      <c r="D57" s="200">
        <f t="shared" si="34"/>
        <v>0</v>
      </c>
      <c r="E57" s="200">
        <f t="shared" si="35"/>
        <v>30.762211813370644</v>
      </c>
      <c r="G57" s="104">
        <f t="shared" si="36"/>
        <v>5</v>
      </c>
      <c r="H57" s="200">
        <f t="shared" si="17"/>
        <v>1.2E-2</v>
      </c>
      <c r="I57" s="200">
        <f t="shared" si="17"/>
        <v>0.1025407060445688</v>
      </c>
      <c r="J57" s="202">
        <f t="shared" si="18"/>
        <v>30.762211813370641</v>
      </c>
      <c r="K57" s="200">
        <f t="shared" si="19"/>
        <v>1</v>
      </c>
      <c r="L57" s="200">
        <f t="shared" si="20"/>
        <v>30.762211813370641</v>
      </c>
      <c r="M57" s="200">
        <f t="shared" si="21"/>
        <v>0.1025407060445688</v>
      </c>
      <c r="N57" s="200">
        <f t="shared" si="37"/>
        <v>0</v>
      </c>
      <c r="O57" s="200">
        <f t="shared" si="22"/>
        <v>0</v>
      </c>
      <c r="Q57" s="104">
        <f t="shared" si="38"/>
        <v>5</v>
      </c>
      <c r="R57" s="200">
        <f t="shared" si="23"/>
        <v>1.2E-2</v>
      </c>
      <c r="S57" s="200">
        <f t="shared" si="23"/>
        <v>0.1025407060445688</v>
      </c>
      <c r="T57" s="202">
        <f t="shared" si="24"/>
        <v>30.762211813370641</v>
      </c>
      <c r="U57" s="200">
        <f t="shared" si="25"/>
        <v>1</v>
      </c>
      <c r="V57" s="200">
        <f t="shared" si="42"/>
        <v>30.762211813370641</v>
      </c>
      <c r="W57" s="200">
        <f t="shared" si="26"/>
        <v>0.10372907778142436</v>
      </c>
      <c r="X57" s="200">
        <f t="shared" si="39"/>
        <v>0</v>
      </c>
      <c r="Y57" s="200">
        <f t="shared" si="27"/>
        <v>0</v>
      </c>
      <c r="AA57" s="104">
        <f t="shared" si="40"/>
        <v>5</v>
      </c>
      <c r="AB57" s="200">
        <f t="shared" si="28"/>
        <v>1.2E-2</v>
      </c>
      <c r="AC57" s="200">
        <f t="shared" si="28"/>
        <v>0.10372907778142436</v>
      </c>
      <c r="AD57" s="202">
        <f t="shared" si="29"/>
        <v>30.762211813370644</v>
      </c>
      <c r="AE57" s="200">
        <f t="shared" si="30"/>
        <v>1</v>
      </c>
      <c r="AF57" s="200">
        <f t="shared" si="43"/>
        <v>30.762211813370644</v>
      </c>
      <c r="AG57" s="200">
        <f t="shared" si="31"/>
        <v>0.10372907778142436</v>
      </c>
      <c r="AH57" s="200">
        <f t="shared" si="41"/>
        <v>0</v>
      </c>
      <c r="AI57" s="200">
        <f t="shared" si="32"/>
        <v>0</v>
      </c>
      <c r="AS57" s="184"/>
      <c r="AU57"/>
      <c r="AV57"/>
      <c r="AW57"/>
    </row>
    <row r="58" spans="2:49" ht="11.1" customHeight="1">
      <c r="B58" s="187">
        <f t="shared" si="33"/>
        <v>6.0000000000000001E-3</v>
      </c>
      <c r="C58" s="215">
        <f>'Flowsheet Balance'!E47</f>
        <v>21.461159437922014</v>
      </c>
      <c r="D58" s="200">
        <f t="shared" si="34"/>
        <v>0</v>
      </c>
      <c r="E58" s="200">
        <f t="shared" si="35"/>
        <v>21.461159437922014</v>
      </c>
      <c r="G58" s="104">
        <f t="shared" si="36"/>
        <v>6</v>
      </c>
      <c r="H58" s="200">
        <f t="shared" si="17"/>
        <v>6.0000000000000001E-3</v>
      </c>
      <c r="I58" s="200">
        <f t="shared" si="17"/>
        <v>7.1537198126406715E-2</v>
      </c>
      <c r="J58" s="202">
        <f t="shared" si="18"/>
        <v>21.461159437922014</v>
      </c>
      <c r="K58" s="200">
        <f t="shared" si="19"/>
        <v>1</v>
      </c>
      <c r="L58" s="200">
        <f t="shared" si="20"/>
        <v>21.461159437922014</v>
      </c>
      <c r="M58" s="200">
        <f t="shared" si="21"/>
        <v>7.1537198126406715E-2</v>
      </c>
      <c r="N58" s="200">
        <f t="shared" si="37"/>
        <v>0</v>
      </c>
      <c r="O58" s="200">
        <f t="shared" si="22"/>
        <v>0</v>
      </c>
      <c r="Q58" s="104">
        <f t="shared" si="38"/>
        <v>6</v>
      </c>
      <c r="R58" s="200">
        <f t="shared" si="23"/>
        <v>6.0000000000000001E-3</v>
      </c>
      <c r="S58" s="200">
        <f t="shared" si="23"/>
        <v>7.1537198126406715E-2</v>
      </c>
      <c r="T58" s="202">
        <f t="shared" si="24"/>
        <v>21.461159437922014</v>
      </c>
      <c r="U58" s="200">
        <f t="shared" si="25"/>
        <v>1</v>
      </c>
      <c r="V58" s="200">
        <f t="shared" si="42"/>
        <v>21.461159437922014</v>
      </c>
      <c r="W58" s="200">
        <f t="shared" si="26"/>
        <v>7.2366261896947823E-2</v>
      </c>
      <c r="X58" s="200">
        <f t="shared" si="39"/>
        <v>0</v>
      </c>
      <c r="Y58" s="200">
        <f t="shared" si="27"/>
        <v>0</v>
      </c>
      <c r="AA58" s="104">
        <f t="shared" si="40"/>
        <v>6</v>
      </c>
      <c r="AB58" s="200">
        <f t="shared" si="28"/>
        <v>6.0000000000000001E-3</v>
      </c>
      <c r="AC58" s="200">
        <f t="shared" si="28"/>
        <v>7.2366261896947823E-2</v>
      </c>
      <c r="AD58" s="202">
        <f t="shared" si="29"/>
        <v>21.461159437922014</v>
      </c>
      <c r="AE58" s="200">
        <f t="shared" si="30"/>
        <v>1</v>
      </c>
      <c r="AF58" s="200">
        <f t="shared" si="43"/>
        <v>21.461159437922014</v>
      </c>
      <c r="AG58" s="200">
        <f t="shared" si="31"/>
        <v>7.2366261896947823E-2</v>
      </c>
      <c r="AH58" s="200">
        <f t="shared" si="41"/>
        <v>0</v>
      </c>
      <c r="AI58" s="200">
        <f t="shared" si="32"/>
        <v>0</v>
      </c>
      <c r="AS58" s="184"/>
      <c r="AU58"/>
      <c r="AV58"/>
      <c r="AW58"/>
    </row>
    <row r="59" spans="2:49" ht="11.1" customHeight="1">
      <c r="B59" s="187">
        <f t="shared" si="33"/>
        <v>3.0000000000000001E-3</v>
      </c>
      <c r="C59" s="215">
        <f>'Flowsheet Balance'!E48</f>
        <v>8.4068373988685448</v>
      </c>
      <c r="D59" s="200">
        <f t="shared" si="34"/>
        <v>0</v>
      </c>
      <c r="E59" s="200">
        <f t="shared" si="35"/>
        <v>8.4068373988685448</v>
      </c>
      <c r="G59" s="104">
        <f t="shared" si="36"/>
        <v>7</v>
      </c>
      <c r="H59" s="200">
        <f t="shared" si="17"/>
        <v>3.0000000000000001E-3</v>
      </c>
      <c r="I59" s="200">
        <f t="shared" si="17"/>
        <v>2.8022791329561814E-2</v>
      </c>
      <c r="J59" s="202">
        <f t="shared" si="18"/>
        <v>8.4068373988685448</v>
      </c>
      <c r="K59" s="200">
        <f t="shared" si="19"/>
        <v>1</v>
      </c>
      <c r="L59" s="200">
        <f t="shared" si="20"/>
        <v>8.4068373988685448</v>
      </c>
      <c r="M59" s="200">
        <f t="shared" si="21"/>
        <v>2.8022791329561817E-2</v>
      </c>
      <c r="N59" s="200">
        <f t="shared" si="37"/>
        <v>0</v>
      </c>
      <c r="O59" s="200">
        <f t="shared" si="22"/>
        <v>0</v>
      </c>
      <c r="Q59" s="104">
        <f t="shared" si="38"/>
        <v>7</v>
      </c>
      <c r="R59" s="200">
        <f t="shared" si="23"/>
        <v>3.0000000000000001E-3</v>
      </c>
      <c r="S59" s="200">
        <f t="shared" si="23"/>
        <v>2.8022791329561817E-2</v>
      </c>
      <c r="T59" s="202">
        <f t="shared" si="24"/>
        <v>8.4068373988685448</v>
      </c>
      <c r="U59" s="200">
        <f t="shared" si="25"/>
        <v>1</v>
      </c>
      <c r="V59" s="200">
        <f t="shared" si="42"/>
        <v>8.4068373988685448</v>
      </c>
      <c r="W59" s="200">
        <f t="shared" si="26"/>
        <v>2.8347554972103711E-2</v>
      </c>
      <c r="X59" s="200">
        <f t="shared" si="39"/>
        <v>0</v>
      </c>
      <c r="Y59" s="200">
        <f t="shared" si="27"/>
        <v>0</v>
      </c>
      <c r="AA59" s="104">
        <f t="shared" si="40"/>
        <v>7</v>
      </c>
      <c r="AB59" s="200">
        <f t="shared" si="28"/>
        <v>3.0000000000000001E-3</v>
      </c>
      <c r="AC59" s="200">
        <f t="shared" si="28"/>
        <v>2.8347554972103711E-2</v>
      </c>
      <c r="AD59" s="202">
        <f t="shared" si="29"/>
        <v>8.4068373988685448</v>
      </c>
      <c r="AE59" s="200">
        <f t="shared" si="30"/>
        <v>1</v>
      </c>
      <c r="AF59" s="200">
        <f t="shared" si="43"/>
        <v>8.4068373988685448</v>
      </c>
      <c r="AG59" s="200">
        <f t="shared" si="31"/>
        <v>2.8347554972103711E-2</v>
      </c>
      <c r="AH59" s="200">
        <f t="shared" si="41"/>
        <v>0</v>
      </c>
      <c r="AI59" s="200">
        <f t="shared" si="32"/>
        <v>0</v>
      </c>
      <c r="AS59" s="184"/>
      <c r="AU59"/>
      <c r="AV59"/>
      <c r="AW59"/>
    </row>
    <row r="60" spans="2:49" ht="11.1" customHeight="1">
      <c r="B60" s="187">
        <f t="shared" si="33"/>
        <v>0</v>
      </c>
      <c r="C60" s="215">
        <f>'Flowsheet Balance'!E49</f>
        <v>0.97329521260417295</v>
      </c>
      <c r="D60" s="200">
        <f t="shared" si="34"/>
        <v>0</v>
      </c>
      <c r="E60" s="200">
        <f t="shared" si="35"/>
        <v>0.97329521260417295</v>
      </c>
      <c r="G60" s="104">
        <f t="shared" si="36"/>
        <v>8</v>
      </c>
      <c r="H60" s="200">
        <f t="shared" si="17"/>
        <v>0</v>
      </c>
      <c r="I60" s="200">
        <f t="shared" si="17"/>
        <v>3.2443173753472433E-3</v>
      </c>
      <c r="J60" s="202">
        <f t="shared" si="18"/>
        <v>0.97329521260417295</v>
      </c>
      <c r="K60" s="200">
        <f t="shared" si="19"/>
        <v>1</v>
      </c>
      <c r="L60" s="200">
        <f t="shared" si="20"/>
        <v>0.97329521260417295</v>
      </c>
      <c r="M60" s="200">
        <f t="shared" si="21"/>
        <v>3.2443173753472433E-3</v>
      </c>
      <c r="N60" s="200">
        <f t="shared" si="37"/>
        <v>0</v>
      </c>
      <c r="O60" s="200">
        <f t="shared" si="22"/>
        <v>0</v>
      </c>
      <c r="Q60" s="104">
        <f t="shared" si="38"/>
        <v>8</v>
      </c>
      <c r="R60" s="200">
        <f t="shared" si="23"/>
        <v>0</v>
      </c>
      <c r="S60" s="200">
        <f t="shared" si="23"/>
        <v>3.2443173753472433E-3</v>
      </c>
      <c r="T60" s="202">
        <f t="shared" si="24"/>
        <v>0.97329521260417295</v>
      </c>
      <c r="U60" s="200">
        <f t="shared" si="25"/>
        <v>1</v>
      </c>
      <c r="V60" s="200">
        <f t="shared" si="42"/>
        <v>0.97329521260417295</v>
      </c>
      <c r="W60" s="200">
        <f t="shared" si="26"/>
        <v>3.2819166393173614E-3</v>
      </c>
      <c r="X60" s="200">
        <f t="shared" si="39"/>
        <v>0</v>
      </c>
      <c r="Y60" s="200">
        <f t="shared" si="27"/>
        <v>0</v>
      </c>
      <c r="AA60" s="104">
        <f t="shared" si="40"/>
        <v>8</v>
      </c>
      <c r="AB60" s="200">
        <f t="shared" si="28"/>
        <v>0</v>
      </c>
      <c r="AC60" s="200">
        <f t="shared" si="28"/>
        <v>3.2819166393173614E-3</v>
      </c>
      <c r="AD60" s="202">
        <f t="shared" si="29"/>
        <v>0.97329521260417295</v>
      </c>
      <c r="AE60" s="200">
        <f t="shared" si="30"/>
        <v>1</v>
      </c>
      <c r="AF60" s="200">
        <f t="shared" si="43"/>
        <v>0.97329521260417295</v>
      </c>
      <c r="AG60" s="200">
        <f t="shared" si="31"/>
        <v>3.2819166393173614E-3</v>
      </c>
      <c r="AH60" s="200">
        <f t="shared" si="41"/>
        <v>0</v>
      </c>
      <c r="AI60" s="200">
        <f t="shared" si="32"/>
        <v>0</v>
      </c>
      <c r="AS60" s="184"/>
      <c r="AT60" s="104"/>
      <c r="AU60" s="104"/>
      <c r="AV60" s="104"/>
      <c r="AW60" s="104"/>
    </row>
    <row r="61" spans="2:49" ht="11.1" customHeight="1">
      <c r="B61" s="189"/>
      <c r="C61" s="215">
        <f>'Flowsheet Balance'!E50</f>
        <v>0</v>
      </c>
      <c r="D61" s="200">
        <f t="shared" si="34"/>
        <v>0</v>
      </c>
      <c r="E61" s="200">
        <f t="shared" si="35"/>
        <v>0</v>
      </c>
      <c r="G61" s="104">
        <f t="shared" si="36"/>
        <v>9</v>
      </c>
      <c r="H61" s="200">
        <f t="shared" si="17"/>
        <v>0</v>
      </c>
      <c r="I61" s="200">
        <f t="shared" si="17"/>
        <v>0</v>
      </c>
      <c r="J61" s="202">
        <f t="shared" si="18"/>
        <v>0</v>
      </c>
      <c r="K61" s="200">
        <f t="shared" si="19"/>
        <v>1</v>
      </c>
      <c r="L61" s="200">
        <f t="shared" si="20"/>
        <v>0</v>
      </c>
      <c r="M61" s="200">
        <f t="shared" si="21"/>
        <v>0</v>
      </c>
      <c r="N61" s="200">
        <f t="shared" si="37"/>
        <v>0</v>
      </c>
      <c r="O61" s="200">
        <f t="shared" si="22"/>
        <v>0</v>
      </c>
      <c r="Q61" s="104">
        <f t="shared" si="38"/>
        <v>9</v>
      </c>
      <c r="R61" s="200">
        <f t="shared" si="23"/>
        <v>0</v>
      </c>
      <c r="S61" s="200">
        <f t="shared" si="23"/>
        <v>0</v>
      </c>
      <c r="T61" s="202">
        <f t="shared" si="24"/>
        <v>0</v>
      </c>
      <c r="U61" s="200">
        <f t="shared" si="25"/>
        <v>1</v>
      </c>
      <c r="V61" s="200">
        <f t="shared" si="42"/>
        <v>0</v>
      </c>
      <c r="W61" s="200">
        <f t="shared" si="26"/>
        <v>0</v>
      </c>
      <c r="X61" s="200">
        <f t="shared" si="39"/>
        <v>0</v>
      </c>
      <c r="Y61" s="200">
        <f t="shared" si="27"/>
        <v>0</v>
      </c>
      <c r="AA61" s="104">
        <f t="shared" si="40"/>
        <v>9</v>
      </c>
      <c r="AB61" s="200">
        <f t="shared" si="28"/>
        <v>0</v>
      </c>
      <c r="AC61" s="200">
        <f t="shared" si="28"/>
        <v>0</v>
      </c>
      <c r="AD61" s="202">
        <f t="shared" si="29"/>
        <v>0</v>
      </c>
      <c r="AE61" s="200">
        <f t="shared" si="30"/>
        <v>1</v>
      </c>
      <c r="AF61" s="200">
        <f t="shared" si="43"/>
        <v>0</v>
      </c>
      <c r="AG61" s="200">
        <f t="shared" si="31"/>
        <v>0</v>
      </c>
      <c r="AH61" s="200">
        <f t="shared" si="41"/>
        <v>0</v>
      </c>
      <c r="AI61" s="200">
        <f t="shared" si="32"/>
        <v>0</v>
      </c>
      <c r="AS61" s="104"/>
      <c r="AT61" s="104"/>
      <c r="AU61" s="104"/>
      <c r="AV61" s="104"/>
      <c r="AW61" s="104"/>
    </row>
    <row r="62" spans="2:49" ht="11.1" customHeight="1">
      <c r="B62" s="189"/>
      <c r="C62" s="215">
        <f>'Flowsheet Balance'!E51</f>
        <v>0</v>
      </c>
      <c r="D62" s="200">
        <f t="shared" si="34"/>
        <v>0</v>
      </c>
      <c r="E62" s="200">
        <f t="shared" si="35"/>
        <v>0</v>
      </c>
      <c r="G62" s="104">
        <f t="shared" si="36"/>
        <v>10</v>
      </c>
      <c r="H62" s="200">
        <f t="shared" si="17"/>
        <v>0</v>
      </c>
      <c r="I62" s="200">
        <f t="shared" si="17"/>
        <v>0</v>
      </c>
      <c r="J62" s="202">
        <f t="shared" si="18"/>
        <v>0</v>
      </c>
      <c r="K62" s="200">
        <f t="shared" si="19"/>
        <v>1</v>
      </c>
      <c r="L62" s="200">
        <f t="shared" si="20"/>
        <v>0</v>
      </c>
      <c r="M62" s="200">
        <f t="shared" si="21"/>
        <v>0</v>
      </c>
      <c r="N62" s="200">
        <f t="shared" si="37"/>
        <v>0</v>
      </c>
      <c r="O62" s="200">
        <f t="shared" si="22"/>
        <v>0</v>
      </c>
      <c r="Q62" s="104">
        <f t="shared" si="38"/>
        <v>10</v>
      </c>
      <c r="R62" s="200">
        <f t="shared" si="23"/>
        <v>0</v>
      </c>
      <c r="S62" s="200">
        <f t="shared" si="23"/>
        <v>0</v>
      </c>
      <c r="T62" s="202">
        <f t="shared" si="24"/>
        <v>0</v>
      </c>
      <c r="U62" s="200">
        <f t="shared" si="25"/>
        <v>1</v>
      </c>
      <c r="V62" s="200">
        <f t="shared" si="42"/>
        <v>0</v>
      </c>
      <c r="W62" s="200">
        <f t="shared" si="26"/>
        <v>0</v>
      </c>
      <c r="X62" s="200">
        <f t="shared" si="39"/>
        <v>0</v>
      </c>
      <c r="Y62" s="200">
        <f t="shared" si="27"/>
        <v>0</v>
      </c>
      <c r="AA62" s="104">
        <f t="shared" si="40"/>
        <v>10</v>
      </c>
      <c r="AB62" s="200">
        <f t="shared" si="28"/>
        <v>0</v>
      </c>
      <c r="AC62" s="200">
        <f t="shared" si="28"/>
        <v>0</v>
      </c>
      <c r="AD62" s="202">
        <f t="shared" si="29"/>
        <v>0</v>
      </c>
      <c r="AE62" s="200">
        <f t="shared" si="30"/>
        <v>1</v>
      </c>
      <c r="AF62" s="200">
        <f t="shared" si="43"/>
        <v>0</v>
      </c>
      <c r="AG62" s="200">
        <f t="shared" si="31"/>
        <v>0</v>
      </c>
      <c r="AH62" s="200">
        <f t="shared" si="41"/>
        <v>0</v>
      </c>
      <c r="AI62" s="200">
        <f t="shared" si="32"/>
        <v>0</v>
      </c>
      <c r="AS62" s="104"/>
      <c r="AT62" s="104"/>
      <c r="AU62" s="104"/>
      <c r="AV62" s="104"/>
      <c r="AW62" s="104"/>
    </row>
    <row r="63" spans="2:49" ht="11.1" customHeight="1" thickBot="1">
      <c r="B63" s="188"/>
      <c r="C63" s="215">
        <f>'Flowsheet Balance'!E52</f>
        <v>0</v>
      </c>
      <c r="D63" s="200">
        <f t="shared" si="34"/>
        <v>0</v>
      </c>
      <c r="E63" s="200">
        <f t="shared" si="35"/>
        <v>0</v>
      </c>
      <c r="G63" s="104">
        <f t="shared" si="36"/>
        <v>11</v>
      </c>
      <c r="H63" s="200">
        <f t="shared" si="17"/>
        <v>0</v>
      </c>
      <c r="I63" s="200">
        <f t="shared" si="17"/>
        <v>0</v>
      </c>
      <c r="J63" s="202">
        <f t="shared" si="18"/>
        <v>0</v>
      </c>
      <c r="K63" s="200">
        <f t="shared" si="19"/>
        <v>1</v>
      </c>
      <c r="L63" s="200">
        <f t="shared" si="20"/>
        <v>0</v>
      </c>
      <c r="M63" s="200">
        <f t="shared" si="21"/>
        <v>0</v>
      </c>
      <c r="N63" s="200">
        <f t="shared" si="37"/>
        <v>0</v>
      </c>
      <c r="O63" s="200">
        <f t="shared" si="22"/>
        <v>0</v>
      </c>
      <c r="Q63" s="104">
        <f t="shared" si="38"/>
        <v>11</v>
      </c>
      <c r="R63" s="200">
        <f t="shared" si="23"/>
        <v>0</v>
      </c>
      <c r="S63" s="200">
        <f t="shared" si="23"/>
        <v>0</v>
      </c>
      <c r="T63" s="202">
        <f t="shared" si="24"/>
        <v>0</v>
      </c>
      <c r="U63" s="200">
        <f t="shared" si="25"/>
        <v>1</v>
      </c>
      <c r="V63" s="200">
        <f t="shared" si="42"/>
        <v>0</v>
      </c>
      <c r="W63" s="200">
        <f t="shared" si="26"/>
        <v>0</v>
      </c>
      <c r="X63" s="200">
        <f t="shared" si="39"/>
        <v>0</v>
      </c>
      <c r="Y63" s="200">
        <f t="shared" si="27"/>
        <v>0</v>
      </c>
      <c r="AA63" s="104">
        <f t="shared" si="40"/>
        <v>11</v>
      </c>
      <c r="AB63" s="200">
        <f t="shared" si="28"/>
        <v>0</v>
      </c>
      <c r="AC63" s="200">
        <f t="shared" si="28"/>
        <v>0</v>
      </c>
      <c r="AD63" s="202">
        <f t="shared" si="29"/>
        <v>0</v>
      </c>
      <c r="AE63" s="200">
        <f t="shared" si="30"/>
        <v>1</v>
      </c>
      <c r="AF63" s="200">
        <f t="shared" si="43"/>
        <v>0</v>
      </c>
      <c r="AG63" s="200">
        <f t="shared" si="31"/>
        <v>0</v>
      </c>
      <c r="AH63" s="200">
        <f t="shared" si="41"/>
        <v>0</v>
      </c>
      <c r="AI63" s="200">
        <f t="shared" si="32"/>
        <v>0</v>
      </c>
      <c r="AS63" s="104"/>
      <c r="AT63" s="104"/>
      <c r="AU63" s="104"/>
      <c r="AV63" s="104"/>
      <c r="AW63" s="104"/>
    </row>
    <row r="64" spans="2:49" ht="11.1" customHeight="1" thickBot="1">
      <c r="B64" s="193"/>
      <c r="C64" s="217">
        <f>SUM(C53:C63)</f>
        <v>300</v>
      </c>
      <c r="D64" s="216">
        <f>SUM(D52:D63)</f>
        <v>77.221853477522984</v>
      </c>
      <c r="E64" s="204">
        <f>SUM(E52:E63)</f>
        <v>222.77814952247701</v>
      </c>
      <c r="G64" s="104">
        <f t="shared" si="36"/>
        <v>12</v>
      </c>
      <c r="H64" s="200">
        <f t="shared" si="17"/>
        <v>0</v>
      </c>
      <c r="I64" s="200">
        <f t="shared" si="17"/>
        <v>0</v>
      </c>
      <c r="J64" s="203">
        <f t="shared" si="18"/>
        <v>0</v>
      </c>
      <c r="K64" s="200">
        <f t="shared" si="19"/>
        <v>1</v>
      </c>
      <c r="L64" s="200">
        <f t="shared" si="20"/>
        <v>0</v>
      </c>
      <c r="M64" s="200">
        <f t="shared" si="21"/>
        <v>0</v>
      </c>
      <c r="N64" s="200">
        <f t="shared" si="37"/>
        <v>0</v>
      </c>
      <c r="O64" s="200">
        <f t="shared" si="22"/>
        <v>0</v>
      </c>
      <c r="Q64" s="104">
        <f t="shared" si="38"/>
        <v>12</v>
      </c>
      <c r="R64" s="200">
        <f t="shared" si="23"/>
        <v>0</v>
      </c>
      <c r="S64" s="200">
        <f t="shared" si="23"/>
        <v>0</v>
      </c>
      <c r="T64" s="202">
        <f t="shared" si="24"/>
        <v>0</v>
      </c>
      <c r="U64" s="200">
        <f t="shared" si="25"/>
        <v>1</v>
      </c>
      <c r="V64" s="200">
        <f t="shared" si="42"/>
        <v>0</v>
      </c>
      <c r="W64" s="200">
        <f t="shared" si="26"/>
        <v>0</v>
      </c>
      <c r="X64" s="200">
        <f t="shared" si="39"/>
        <v>0</v>
      </c>
      <c r="Y64" s="200">
        <f>X64/N$65</f>
        <v>0</v>
      </c>
      <c r="AA64" s="104">
        <f t="shared" si="40"/>
        <v>12</v>
      </c>
      <c r="AB64" s="200">
        <f t="shared" si="28"/>
        <v>0</v>
      </c>
      <c r="AC64" s="200">
        <f t="shared" si="28"/>
        <v>0</v>
      </c>
      <c r="AD64" s="202">
        <f t="shared" si="29"/>
        <v>0</v>
      </c>
      <c r="AE64" s="200">
        <f t="shared" si="30"/>
        <v>1</v>
      </c>
      <c r="AF64" s="200">
        <f t="shared" si="43"/>
        <v>0</v>
      </c>
      <c r="AG64" s="200">
        <f t="shared" si="31"/>
        <v>0</v>
      </c>
      <c r="AH64" s="200">
        <f t="shared" si="41"/>
        <v>0</v>
      </c>
      <c r="AI64" s="200">
        <f>AH64/N$65</f>
        <v>0</v>
      </c>
      <c r="AS64" s="104"/>
      <c r="AT64" s="104"/>
      <c r="AU64" s="104"/>
      <c r="AV64" s="104"/>
      <c r="AW64" s="104"/>
    </row>
    <row r="65" spans="2:56" ht="11.1" customHeight="1" thickTop="1" thickBot="1">
      <c r="B65" s="100"/>
      <c r="C65" s="100"/>
      <c r="D65" s="100"/>
      <c r="E65" s="100"/>
      <c r="G65" s="104"/>
      <c r="H65" s="202"/>
      <c r="I65" s="136"/>
      <c r="J65" s="204">
        <f>SUM(J53:J64)</f>
        <v>300</v>
      </c>
      <c r="K65" s="205"/>
      <c r="L65" s="204">
        <f>SUM(L53:L64)</f>
        <v>300</v>
      </c>
      <c r="M65" s="202"/>
      <c r="N65" s="204">
        <f>SUM(N53:N64)</f>
        <v>9.9999999999999995E-7</v>
      </c>
      <c r="O65" s="200"/>
      <c r="Q65" s="104"/>
      <c r="R65" s="202"/>
      <c r="S65" s="136"/>
      <c r="T65" s="204">
        <f>SUM(T53:T64)</f>
        <v>300</v>
      </c>
      <c r="U65" s="205"/>
      <c r="V65" s="204">
        <f>SUM(V53:V64)</f>
        <v>296.56305128049149</v>
      </c>
      <c r="W65" s="202"/>
      <c r="X65" s="204">
        <f>SUM(X53:X64)</f>
        <v>3.436949719508493</v>
      </c>
      <c r="Y65" s="200"/>
      <c r="AA65" s="104"/>
      <c r="AB65" s="202"/>
      <c r="AC65" s="136"/>
      <c r="AD65" s="204">
        <f>SUM(AD53:AD64)</f>
        <v>296.56305128049149</v>
      </c>
      <c r="AE65" s="205"/>
      <c r="AF65" s="204">
        <f>SUM(AF53:AF64)</f>
        <v>222.77814952247701</v>
      </c>
      <c r="AG65" s="202"/>
      <c r="AH65" s="204">
        <f>SUM(AH53:AH64)</f>
        <v>73.784902758014482</v>
      </c>
      <c r="AI65" s="200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</row>
    <row r="66" spans="2:56" ht="11.1" customHeight="1">
      <c r="B66" s="100"/>
      <c r="C66" s="100"/>
      <c r="D66" s="100"/>
      <c r="E66" s="100"/>
      <c r="I66" s="184"/>
      <c r="S66" s="184"/>
      <c r="AC66" s="104"/>
      <c r="AD66" s="104"/>
      <c r="AE66" s="104"/>
      <c r="AF66" s="104"/>
      <c r="AG66" s="104"/>
      <c r="AH66" s="206"/>
      <c r="AI66" s="206"/>
      <c r="AJ66" s="104"/>
      <c r="AK66" s="104"/>
      <c r="AL66" s="104"/>
      <c r="AM66" s="104"/>
      <c r="AN66" s="104"/>
    </row>
    <row r="67" spans="2:56" ht="11.1" customHeight="1">
      <c r="B67" s="184"/>
      <c r="C67" s="100"/>
      <c r="D67" s="100"/>
      <c r="E67" s="100"/>
      <c r="L67" s="184"/>
      <c r="V67" s="184"/>
      <c r="AF67" s="104"/>
      <c r="AG67" s="104"/>
      <c r="AH67" s="104"/>
      <c r="AI67" s="104"/>
      <c r="AJ67" s="104"/>
      <c r="AK67" s="206"/>
      <c r="AL67" s="206"/>
      <c r="AM67" s="104"/>
      <c r="AN67" s="104"/>
      <c r="AO67" s="104"/>
      <c r="AP67" s="104"/>
      <c r="AQ67" s="104"/>
    </row>
    <row r="68" spans="2:56" ht="11.1" customHeight="1">
      <c r="B68" s="100"/>
      <c r="C68" s="100"/>
      <c r="D68" s="100"/>
      <c r="E68" s="100"/>
      <c r="H68" s="184"/>
      <c r="R68" s="184"/>
      <c r="AB68" s="184"/>
      <c r="AC68" s="185"/>
      <c r="AD68" s="185"/>
      <c r="AE68" s="207"/>
      <c r="AF68" s="207"/>
      <c r="AG68" s="208"/>
      <c r="AH68" s="185"/>
      <c r="AI68" s="184"/>
      <c r="AJ68" s="207"/>
      <c r="AK68" s="206"/>
      <c r="AL68" s="185"/>
      <c r="AM68" s="185"/>
      <c r="AN68" s="185"/>
      <c r="AO68" s="185"/>
    </row>
    <row r="69" spans="2:56" ht="11.1" customHeight="1">
      <c r="B69" s="100"/>
      <c r="C69" s="100"/>
      <c r="D69" s="100"/>
      <c r="E69" s="100"/>
      <c r="AB69" s="184"/>
      <c r="AC69" s="185"/>
      <c r="AD69" s="185"/>
      <c r="AE69" s="207"/>
      <c r="AF69" s="207"/>
      <c r="AG69" s="208"/>
      <c r="AH69" s="185"/>
      <c r="AI69" s="184"/>
      <c r="AJ69" s="207"/>
      <c r="AK69" s="206"/>
      <c r="AL69" s="185"/>
      <c r="AM69" s="185"/>
      <c r="AN69" s="185"/>
      <c r="AO69" s="185"/>
    </row>
    <row r="70" spans="2:56" ht="11.1" customHeight="1">
      <c r="B70" s="100"/>
      <c r="C70" s="100"/>
      <c r="D70" s="100"/>
      <c r="E70" s="100"/>
      <c r="AB70" s="184"/>
      <c r="AC70" s="185"/>
      <c r="AD70" s="185"/>
      <c r="AE70" s="207"/>
      <c r="AF70" s="207"/>
      <c r="AG70" s="208"/>
      <c r="AH70" s="185"/>
      <c r="AI70" s="184"/>
      <c r="AJ70" s="207"/>
      <c r="AK70" s="206"/>
      <c r="AL70" s="185"/>
      <c r="AM70" s="185"/>
      <c r="AN70" s="185"/>
      <c r="AO70" s="185"/>
    </row>
    <row r="71" spans="2:56" ht="11.1" customHeight="1">
      <c r="B71" s="100"/>
      <c r="C71" s="100"/>
      <c r="D71" s="100"/>
      <c r="E71" s="100"/>
      <c r="AB71" s="184"/>
      <c r="AC71" s="185"/>
      <c r="AD71" s="185"/>
      <c r="AE71" s="207"/>
      <c r="AF71" s="207"/>
      <c r="AG71" s="208"/>
      <c r="AH71" s="185"/>
      <c r="AI71" s="184"/>
      <c r="AJ71" s="207"/>
      <c r="AK71" s="206"/>
      <c r="AL71" s="185"/>
      <c r="AM71" s="185"/>
      <c r="AN71" s="185"/>
      <c r="AO71" s="185"/>
    </row>
    <row r="72" spans="2:56" ht="11.1" customHeight="1">
      <c r="B72" s="100"/>
      <c r="C72" s="100"/>
      <c r="D72" s="100"/>
      <c r="E72" s="100"/>
      <c r="AB72" s="184"/>
      <c r="AC72" s="185"/>
      <c r="AD72" s="185"/>
      <c r="AE72" s="207"/>
      <c r="AF72" s="207"/>
      <c r="AG72" s="208"/>
      <c r="AH72" s="185"/>
      <c r="AI72" s="184"/>
      <c r="AJ72" s="207"/>
      <c r="AK72" s="206"/>
      <c r="AL72" s="185"/>
      <c r="AM72" s="185"/>
      <c r="AN72" s="185"/>
      <c r="AO72" s="185"/>
    </row>
    <row r="73" spans="2:56" ht="11.1" customHeight="1">
      <c r="B73" s="100"/>
      <c r="C73" s="100"/>
      <c r="D73" s="100"/>
      <c r="E73" s="100"/>
      <c r="AB73" s="184"/>
      <c r="AC73" s="185"/>
      <c r="AD73" s="185"/>
      <c r="AE73" s="207"/>
      <c r="AF73" s="207"/>
      <c r="AG73" s="208"/>
      <c r="AH73" s="185"/>
      <c r="AI73" s="184"/>
      <c r="AJ73" s="207"/>
      <c r="AK73" s="206"/>
      <c r="AL73" s="185"/>
      <c r="AM73" s="185"/>
      <c r="AN73" s="185"/>
      <c r="AO73" s="185"/>
    </row>
    <row r="74" spans="2:56" ht="11.1" customHeight="1">
      <c r="B74" s="100"/>
      <c r="C74" s="100"/>
      <c r="D74" s="100"/>
      <c r="E74" s="100"/>
      <c r="AB74" s="184"/>
      <c r="AC74" s="185"/>
      <c r="AD74" s="185"/>
      <c r="AE74" s="207"/>
      <c r="AF74" s="207"/>
      <c r="AG74" s="208"/>
      <c r="AH74" s="185"/>
      <c r="AI74" s="184"/>
      <c r="AJ74" s="207"/>
      <c r="AK74" s="206"/>
      <c r="AL74" s="185"/>
      <c r="AM74" s="185"/>
      <c r="AN74" s="185"/>
      <c r="AO74" s="185"/>
    </row>
    <row r="75" spans="2:56" ht="11.1" customHeight="1">
      <c r="B75" s="100"/>
      <c r="C75" s="100"/>
      <c r="D75" s="100"/>
      <c r="E75" s="100"/>
      <c r="AB75" s="184"/>
      <c r="AC75" s="185"/>
      <c r="AD75" s="185"/>
      <c r="AE75" s="207"/>
      <c r="AF75" s="207"/>
      <c r="AG75" s="208"/>
      <c r="AH75" s="185"/>
      <c r="AI75" s="184"/>
      <c r="AJ75" s="207"/>
      <c r="AK75" s="206"/>
      <c r="AL75" s="185"/>
      <c r="AM75" s="185"/>
      <c r="AN75" s="185"/>
      <c r="AO75" s="185"/>
    </row>
    <row r="76" spans="2:56" ht="11.1" customHeight="1">
      <c r="B76" s="100"/>
      <c r="C76" s="100"/>
      <c r="D76" s="100"/>
      <c r="E76" s="100"/>
      <c r="AB76" s="184"/>
      <c r="AC76" s="185"/>
      <c r="AD76" s="185"/>
      <c r="AE76" s="207"/>
      <c r="AF76" s="207"/>
      <c r="AG76" s="208"/>
      <c r="AH76" s="185"/>
      <c r="AI76" s="184"/>
      <c r="AJ76" s="207"/>
      <c r="AK76" s="206"/>
      <c r="AL76" s="185"/>
      <c r="AM76" s="185"/>
      <c r="AN76" s="185"/>
      <c r="AO76" s="185"/>
    </row>
    <row r="77" spans="2:56" ht="11.1" customHeight="1">
      <c r="B77" s="100"/>
      <c r="C77" s="100"/>
      <c r="D77" s="100"/>
      <c r="E77" s="100"/>
      <c r="AB77" s="184"/>
      <c r="AC77" s="185"/>
      <c r="AD77" s="185"/>
      <c r="AE77" s="207"/>
      <c r="AF77" s="207"/>
      <c r="AG77" s="208"/>
      <c r="AH77" s="185"/>
      <c r="AI77" s="184"/>
      <c r="AJ77" s="207"/>
      <c r="AK77" s="206"/>
      <c r="AL77" s="185"/>
      <c r="AM77" s="185"/>
      <c r="AN77" s="185"/>
      <c r="AO77" s="185"/>
    </row>
    <row r="78" spans="2:56" ht="11.1" customHeight="1">
      <c r="B78" s="100"/>
      <c r="C78" s="100"/>
      <c r="D78" s="100"/>
      <c r="E78" s="100"/>
      <c r="AF78" s="184"/>
      <c r="AG78" s="185"/>
      <c r="AH78" s="185"/>
      <c r="AI78" s="207"/>
      <c r="AJ78" s="207"/>
      <c r="AK78" s="208"/>
      <c r="AL78" s="185"/>
      <c r="AM78" s="184"/>
      <c r="AN78" s="207"/>
      <c r="AO78" s="206"/>
      <c r="AP78" s="185"/>
      <c r="AQ78" s="185"/>
      <c r="AR78" s="185"/>
      <c r="AS78" s="185"/>
    </row>
    <row r="79" spans="2:56" ht="11.1" customHeight="1">
      <c r="B79" s="100"/>
      <c r="C79" s="100"/>
      <c r="D79" s="100"/>
      <c r="E79" s="100"/>
      <c r="AF79" s="184"/>
      <c r="AG79" s="185"/>
      <c r="AH79" s="185"/>
      <c r="AI79" s="207"/>
      <c r="AJ79" s="207"/>
      <c r="AK79" s="208"/>
      <c r="AL79" s="185"/>
      <c r="AM79" s="184"/>
      <c r="AN79" s="207"/>
      <c r="AO79" s="206"/>
      <c r="AP79" s="185"/>
      <c r="AQ79" s="185"/>
      <c r="AR79" s="185"/>
      <c r="AS79" s="185"/>
    </row>
    <row r="80" spans="2:56" ht="11.1" customHeight="1">
      <c r="B80" s="100"/>
      <c r="C80" s="100"/>
      <c r="D80" s="100"/>
      <c r="E80" s="100"/>
      <c r="AF80" s="206"/>
      <c r="AI80" s="207"/>
      <c r="AJ80" s="207"/>
      <c r="AK80" s="206"/>
      <c r="AL80" s="206"/>
      <c r="AM80" s="207"/>
      <c r="AN80" s="207"/>
      <c r="AO80" s="207"/>
      <c r="AQ80" s="185"/>
      <c r="AR80" s="185"/>
      <c r="AS80" s="185"/>
    </row>
    <row r="81" spans="2:49" ht="11.1" customHeight="1">
      <c r="B81" s="100"/>
      <c r="C81" s="100"/>
      <c r="D81" s="100"/>
      <c r="E81" s="100"/>
    </row>
    <row r="82" spans="2:49" ht="11.1" customHeight="1">
      <c r="B82" s="100"/>
      <c r="C82" s="100"/>
      <c r="D82" s="100"/>
      <c r="E82" s="100"/>
    </row>
    <row r="83" spans="2:49" ht="22.5" customHeight="1">
      <c r="B83" s="100"/>
      <c r="C83" s="100"/>
      <c r="D83" s="100"/>
      <c r="E83" s="100"/>
      <c r="AE83" s="104"/>
      <c r="AF83" s="104"/>
      <c r="AG83" s="104"/>
      <c r="AH83" s="104"/>
      <c r="AI83" s="104"/>
    </row>
    <row r="84" spans="2:49" ht="14.4">
      <c r="B84" s="100"/>
      <c r="C84" s="100"/>
      <c r="D84" s="100"/>
      <c r="E84" s="100"/>
      <c r="AE84" s="104"/>
      <c r="AF84" s="104"/>
      <c r="AG84" s="104"/>
      <c r="AH84" s="104"/>
      <c r="AI84" s="104"/>
    </row>
    <row r="85" spans="2:49" ht="11.1" customHeight="1">
      <c r="B85" s="100"/>
      <c r="C85" s="100"/>
      <c r="D85" s="100"/>
      <c r="E85" s="100"/>
      <c r="AS85" s="104"/>
      <c r="AT85" s="104"/>
      <c r="AU85" s="104"/>
      <c r="AV85" s="104"/>
      <c r="AW85" s="201"/>
    </row>
    <row r="86" spans="2:49" ht="11.25" customHeight="1">
      <c r="B86" s="100"/>
      <c r="C86" s="100"/>
      <c r="D86" s="100"/>
      <c r="E86" s="100"/>
      <c r="AS86" s="104"/>
      <c r="AT86" s="104"/>
      <c r="AU86" s="104"/>
      <c r="AV86" s="104"/>
      <c r="AW86" s="201"/>
    </row>
    <row r="87" spans="2:49" ht="11.25" customHeight="1">
      <c r="B87" s="100"/>
      <c r="C87" s="100"/>
      <c r="D87" s="100"/>
      <c r="E87" s="100"/>
      <c r="AS87" s="104"/>
      <c r="AT87" s="104"/>
      <c r="AU87" s="104"/>
      <c r="AV87" s="104"/>
      <c r="AW87" s="201"/>
    </row>
    <row r="88" spans="2:49" ht="11.25" customHeight="1">
      <c r="B88" s="100"/>
      <c r="C88" s="100"/>
      <c r="D88" s="100"/>
      <c r="E88" s="100"/>
      <c r="AS88" s="104"/>
      <c r="AT88" s="104"/>
      <c r="AU88" s="104"/>
      <c r="AV88" s="104"/>
      <c r="AW88" s="104"/>
    </row>
    <row r="89" spans="2:49" ht="11.25" customHeight="1">
      <c r="B89" s="100"/>
      <c r="C89" s="100"/>
      <c r="D89" s="100"/>
      <c r="E89" s="100"/>
      <c r="AS89" s="104"/>
      <c r="AT89" s="104"/>
      <c r="AU89" s="104"/>
      <c r="AV89" s="104"/>
      <c r="AW89" s="104"/>
    </row>
    <row r="90" spans="2:49" ht="11.1" customHeight="1">
      <c r="B90" s="100"/>
      <c r="C90" s="100"/>
      <c r="D90" s="100"/>
      <c r="E90" s="100"/>
    </row>
    <row r="91" spans="2:49" ht="11.1" customHeight="1">
      <c r="B91" s="100"/>
      <c r="C91" s="100"/>
      <c r="D91" s="100"/>
      <c r="E91" s="100"/>
    </row>
    <row r="92" spans="2:49" ht="11.1" customHeight="1">
      <c r="B92" s="100"/>
      <c r="C92" s="100"/>
      <c r="D92" s="100"/>
      <c r="E92" s="100"/>
    </row>
    <row r="93" spans="2:49" ht="11.1" customHeight="1">
      <c r="B93" s="100"/>
      <c r="C93" s="100"/>
      <c r="D93" s="100"/>
      <c r="E93" s="100"/>
    </row>
    <row r="94" spans="2:49" ht="11.1" customHeight="1">
      <c r="B94" s="100"/>
      <c r="C94" s="100"/>
      <c r="D94" s="100"/>
      <c r="E94" s="100"/>
    </row>
    <row r="95" spans="2:49" ht="11.1" customHeight="1">
      <c r="B95" s="100"/>
      <c r="C95" s="100"/>
      <c r="D95" s="100"/>
      <c r="E95" s="100"/>
    </row>
    <row r="96" spans="2:49" ht="11.1" customHeight="1">
      <c r="B96" s="100"/>
      <c r="C96" s="100"/>
      <c r="D96" s="100"/>
      <c r="E96" s="100"/>
    </row>
    <row r="97" spans="2:5" ht="11.1" customHeight="1">
      <c r="B97" s="100"/>
      <c r="C97" s="100"/>
      <c r="D97" s="100"/>
      <c r="E97" s="100"/>
    </row>
    <row r="98" spans="2:5" ht="11.1" customHeight="1">
      <c r="B98" s="100"/>
      <c r="C98" s="100"/>
      <c r="D98" s="100"/>
      <c r="E98" s="100"/>
    </row>
    <row r="99" spans="2:5" ht="11.1" customHeight="1">
      <c r="B99" s="100"/>
      <c r="C99" s="100"/>
      <c r="D99" s="100"/>
      <c r="E99" s="100"/>
    </row>
    <row r="100" spans="2:5" ht="11.1" customHeight="1">
      <c r="B100" s="100"/>
      <c r="C100" s="100"/>
      <c r="D100" s="100"/>
      <c r="E100" s="100"/>
    </row>
    <row r="101" spans="2:5" ht="11.1" customHeight="1">
      <c r="B101" s="100"/>
      <c r="C101" s="100"/>
      <c r="D101" s="100"/>
      <c r="E101" s="100"/>
    </row>
    <row r="102" spans="2:5" ht="11.1" customHeight="1">
      <c r="B102" s="100"/>
      <c r="C102" s="100"/>
      <c r="D102" s="100"/>
      <c r="E102" s="100"/>
    </row>
    <row r="103" spans="2:5" ht="11.1" customHeight="1">
      <c r="B103" s="100"/>
      <c r="C103" s="100"/>
      <c r="D103" s="100"/>
      <c r="E103" s="100"/>
    </row>
    <row r="104" spans="2:5" ht="11.1" customHeight="1">
      <c r="B104" s="100"/>
      <c r="C104" s="100"/>
      <c r="D104" s="100"/>
      <c r="E104" s="100"/>
    </row>
    <row r="105" spans="2:5" ht="11.1" customHeight="1">
      <c r="B105" s="100"/>
      <c r="C105" s="100"/>
      <c r="D105" s="100"/>
      <c r="E105" s="100"/>
    </row>
    <row r="106" spans="2:5" ht="11.1" customHeight="1">
      <c r="B106" s="100"/>
      <c r="C106" s="100"/>
      <c r="D106" s="100"/>
      <c r="E106" s="100"/>
    </row>
    <row r="107" spans="2:5" ht="11.1" customHeight="1">
      <c r="B107" s="100"/>
      <c r="C107" s="100"/>
      <c r="D107" s="100"/>
      <c r="E107" s="100"/>
    </row>
    <row r="108" spans="2:5" ht="11.1" customHeight="1">
      <c r="B108" s="100"/>
      <c r="C108" s="100"/>
      <c r="D108" s="100"/>
      <c r="E108" s="100"/>
    </row>
    <row r="109" spans="2:5" ht="11.1" customHeight="1">
      <c r="B109" s="100"/>
      <c r="C109" s="100"/>
      <c r="D109" s="100"/>
      <c r="E109" s="100"/>
    </row>
    <row r="110" spans="2:5" ht="11.1" customHeight="1">
      <c r="B110" s="100"/>
      <c r="C110" s="100"/>
      <c r="D110" s="100"/>
      <c r="E110" s="100"/>
    </row>
    <row r="111" spans="2:5" ht="11.1" customHeight="1">
      <c r="B111" s="100"/>
      <c r="C111" s="100"/>
      <c r="D111" s="100"/>
      <c r="E111" s="100"/>
    </row>
    <row r="112" spans="2:5" ht="11.1" customHeight="1">
      <c r="B112" s="100"/>
      <c r="C112" s="100"/>
      <c r="D112" s="100"/>
      <c r="E112" s="100"/>
    </row>
    <row r="113" spans="2:5" ht="11.1" customHeight="1">
      <c r="B113" s="100"/>
      <c r="C113" s="100"/>
      <c r="D113" s="100"/>
      <c r="E113" s="100"/>
    </row>
    <row r="114" spans="2:5" ht="11.1" customHeight="1">
      <c r="B114" s="100"/>
      <c r="C114" s="100"/>
      <c r="D114" s="100"/>
      <c r="E114" s="100"/>
    </row>
    <row r="115" spans="2:5" ht="11.1" customHeight="1">
      <c r="B115" s="100"/>
      <c r="C115" s="100"/>
      <c r="D115" s="100"/>
      <c r="E115" s="100"/>
    </row>
    <row r="116" spans="2:5" ht="11.1" customHeight="1">
      <c r="B116" s="100"/>
      <c r="C116" s="100"/>
      <c r="D116" s="100"/>
      <c r="E116" s="100"/>
    </row>
    <row r="117" spans="2:5" ht="11.1" customHeight="1">
      <c r="B117" s="100"/>
      <c r="C117" s="100"/>
      <c r="D117" s="100"/>
      <c r="E117" s="100"/>
    </row>
    <row r="118" spans="2:5" ht="11.1" customHeight="1">
      <c r="B118" s="100"/>
      <c r="C118" s="100"/>
      <c r="D118" s="100"/>
      <c r="E118" s="100"/>
    </row>
    <row r="119" spans="2:5" ht="11.1" customHeight="1">
      <c r="B119" s="100"/>
      <c r="C119" s="100"/>
      <c r="D119" s="100"/>
      <c r="E119" s="100"/>
    </row>
    <row r="120" spans="2:5" ht="11.1" customHeight="1">
      <c r="B120" s="100"/>
      <c r="C120" s="100"/>
      <c r="D120" s="100"/>
      <c r="E120" s="100"/>
    </row>
    <row r="121" spans="2:5" ht="11.1" customHeight="1">
      <c r="B121" s="100"/>
      <c r="C121" s="100"/>
      <c r="D121" s="100"/>
      <c r="E121" s="100"/>
    </row>
    <row r="122" spans="2:5" ht="11.1" customHeight="1">
      <c r="B122" s="100"/>
      <c r="C122" s="100"/>
      <c r="D122" s="100"/>
      <c r="E122" s="100"/>
    </row>
    <row r="123" spans="2:5" ht="11.1" customHeight="1">
      <c r="B123" s="100"/>
      <c r="C123" s="100"/>
      <c r="D123" s="100"/>
      <c r="E123" s="100"/>
    </row>
    <row r="124" spans="2:5" ht="11.1" customHeight="1">
      <c r="B124" s="100"/>
      <c r="C124" s="100"/>
      <c r="D124" s="100"/>
      <c r="E124" s="100"/>
    </row>
    <row r="125" spans="2:5" ht="14.4">
      <c r="B125" s="100"/>
      <c r="C125" s="100"/>
      <c r="D125" s="100"/>
      <c r="E125" s="100"/>
    </row>
    <row r="126" spans="2:5" ht="22.5" customHeight="1">
      <c r="B126" s="100"/>
      <c r="C126" s="100"/>
      <c r="D126" s="100"/>
      <c r="E126" s="100"/>
    </row>
    <row r="127" spans="2:5" ht="14.4">
      <c r="B127" s="100"/>
      <c r="C127" s="100"/>
      <c r="D127" s="100"/>
      <c r="E127" s="100"/>
    </row>
    <row r="128" spans="2:5" ht="11.1" customHeight="1">
      <c r="B128" s="100"/>
      <c r="C128" s="100"/>
      <c r="D128" s="100"/>
      <c r="E128" s="100"/>
    </row>
    <row r="129" spans="2:35" ht="11.25" customHeight="1">
      <c r="B129" s="100"/>
      <c r="C129" s="100"/>
      <c r="D129" s="100"/>
      <c r="E129" s="100"/>
      <c r="G129" s="22"/>
      <c r="H129" s="22"/>
      <c r="I129" s="22"/>
      <c r="J129" s="22"/>
      <c r="K129" s="22"/>
      <c r="L129" s="22"/>
      <c r="M129" s="22"/>
      <c r="N129" s="22"/>
      <c r="O129" s="22"/>
      <c r="Q129" s="22"/>
      <c r="R129" s="22"/>
      <c r="S129" s="22"/>
      <c r="T129" s="22"/>
      <c r="U129" s="22"/>
      <c r="V129" s="22"/>
      <c r="W129" s="22"/>
      <c r="X129" s="22"/>
      <c r="Y129" s="22"/>
      <c r="AA129" s="22"/>
      <c r="AB129" s="22"/>
      <c r="AC129" s="22"/>
      <c r="AD129" s="22"/>
      <c r="AE129" s="22"/>
      <c r="AF129" s="22"/>
      <c r="AG129" s="22"/>
      <c r="AH129" s="22"/>
      <c r="AI129" s="22"/>
    </row>
    <row r="130" spans="2:35" ht="11.25" customHeight="1">
      <c r="B130" s="100"/>
      <c r="C130" s="100"/>
      <c r="D130" s="100"/>
      <c r="E130" s="100"/>
      <c r="G130" s="22"/>
      <c r="H130" s="22"/>
      <c r="I130" s="22"/>
      <c r="J130" s="22"/>
      <c r="K130" s="22"/>
      <c r="L130" s="22"/>
      <c r="M130" s="22"/>
      <c r="N130" s="22"/>
      <c r="O130" s="22"/>
      <c r="Q130" s="22"/>
      <c r="R130" s="22"/>
      <c r="S130" s="22"/>
      <c r="T130" s="22"/>
      <c r="U130" s="22"/>
      <c r="V130" s="22"/>
      <c r="W130" s="22"/>
      <c r="X130" s="22"/>
      <c r="Y130" s="22"/>
      <c r="AA130" s="22"/>
      <c r="AB130" s="22"/>
      <c r="AC130" s="22"/>
      <c r="AD130" s="22"/>
      <c r="AE130" s="22"/>
      <c r="AF130" s="22"/>
      <c r="AG130" s="22"/>
      <c r="AH130" s="22"/>
      <c r="AI130" s="22"/>
    </row>
    <row r="131" spans="2:35" ht="11.25" customHeight="1">
      <c r="B131" s="100"/>
      <c r="C131" s="100"/>
      <c r="D131" s="100"/>
      <c r="E131" s="100"/>
      <c r="G131" s="22"/>
      <c r="H131" s="22"/>
      <c r="I131" s="22"/>
      <c r="J131" s="22"/>
      <c r="K131" s="22"/>
      <c r="L131" s="22"/>
      <c r="M131" s="22"/>
      <c r="N131" s="22"/>
      <c r="O131" s="22"/>
      <c r="Q131" s="22"/>
      <c r="R131" s="22"/>
      <c r="S131" s="22"/>
      <c r="T131" s="22"/>
      <c r="U131" s="22"/>
      <c r="V131" s="22"/>
      <c r="W131" s="22"/>
      <c r="X131" s="22"/>
      <c r="Y131" s="22"/>
      <c r="AA131" s="22"/>
      <c r="AB131" s="22"/>
      <c r="AC131" s="22"/>
      <c r="AD131" s="22"/>
      <c r="AE131" s="22"/>
      <c r="AF131" s="22"/>
      <c r="AG131" s="22"/>
      <c r="AH131" s="22"/>
      <c r="AI131" s="22"/>
    </row>
    <row r="132" spans="2:35" ht="11.25" customHeight="1">
      <c r="B132" s="100"/>
      <c r="C132" s="100"/>
      <c r="D132" s="100"/>
      <c r="E132" s="100"/>
      <c r="G132" s="22"/>
      <c r="H132" s="22"/>
      <c r="I132" s="22"/>
      <c r="J132" s="22"/>
      <c r="K132" s="22"/>
      <c r="L132" s="22"/>
      <c r="M132" s="22"/>
      <c r="N132" s="22"/>
      <c r="O132" s="22"/>
      <c r="Q132" s="22"/>
      <c r="R132" s="22"/>
      <c r="S132" s="22"/>
      <c r="T132" s="22"/>
      <c r="U132" s="22"/>
      <c r="V132" s="22"/>
      <c r="W132" s="22"/>
      <c r="X132" s="22"/>
      <c r="Y132" s="22"/>
      <c r="AA132" s="22"/>
      <c r="AB132" s="22"/>
      <c r="AC132" s="22"/>
      <c r="AD132" s="22"/>
      <c r="AE132" s="22"/>
      <c r="AF132" s="22"/>
      <c r="AG132" s="22"/>
      <c r="AH132" s="22"/>
      <c r="AI132" s="22"/>
    </row>
    <row r="133" spans="2:35" ht="11.1" customHeight="1">
      <c r="B133" s="100"/>
      <c r="C133" s="100"/>
      <c r="D133" s="100"/>
      <c r="E133" s="100"/>
      <c r="G133" s="22"/>
      <c r="H133" s="22"/>
      <c r="I133" s="22"/>
      <c r="J133" s="22"/>
      <c r="K133" s="22"/>
      <c r="L133" s="22"/>
      <c r="M133" s="22"/>
      <c r="N133" s="22"/>
      <c r="O133" s="22"/>
      <c r="Q133" s="22"/>
      <c r="R133" s="22"/>
      <c r="S133" s="22"/>
      <c r="T133" s="22"/>
      <c r="U133" s="22"/>
      <c r="V133" s="22"/>
      <c r="W133" s="22"/>
      <c r="X133" s="22"/>
      <c r="Y133" s="22"/>
      <c r="AA133" s="22"/>
      <c r="AB133" s="22"/>
      <c r="AC133" s="22"/>
      <c r="AD133" s="22"/>
      <c r="AE133" s="22"/>
      <c r="AF133" s="22"/>
      <c r="AG133" s="22"/>
      <c r="AH133" s="22"/>
      <c r="AI133" s="22"/>
    </row>
    <row r="134" spans="2:35" ht="11.1" customHeight="1">
      <c r="B134" s="100"/>
      <c r="C134" s="100"/>
      <c r="D134" s="100"/>
      <c r="E134" s="100"/>
      <c r="G134" s="22"/>
      <c r="H134" s="22"/>
      <c r="I134" s="22"/>
      <c r="J134" s="22"/>
      <c r="K134" s="22"/>
      <c r="L134" s="22"/>
      <c r="M134" s="22"/>
      <c r="N134" s="22"/>
      <c r="O134" s="22"/>
      <c r="Q134" s="22"/>
      <c r="R134" s="22"/>
      <c r="S134" s="22"/>
      <c r="T134" s="22"/>
      <c r="U134" s="22"/>
      <c r="V134" s="22"/>
      <c r="W134" s="22"/>
      <c r="X134" s="22"/>
      <c r="Y134" s="22"/>
      <c r="AA134" s="22"/>
      <c r="AB134" s="22"/>
      <c r="AC134" s="22"/>
      <c r="AD134" s="22"/>
      <c r="AE134" s="22"/>
      <c r="AF134" s="22"/>
      <c r="AG134" s="22"/>
      <c r="AH134" s="22"/>
      <c r="AI134" s="22"/>
    </row>
    <row r="135" spans="2:35" ht="11.1" customHeight="1">
      <c r="B135" s="100"/>
      <c r="C135" s="100"/>
      <c r="D135" s="100"/>
      <c r="E135" s="100"/>
    </row>
    <row r="136" spans="2:35" ht="11.1" customHeight="1">
      <c r="B136" s="100"/>
      <c r="C136" s="100"/>
      <c r="D136" s="100"/>
      <c r="E136" s="100"/>
    </row>
    <row r="137" spans="2:35" ht="11.1" customHeight="1">
      <c r="B137" s="100"/>
      <c r="C137" s="100"/>
      <c r="D137" s="100"/>
      <c r="E137" s="100"/>
    </row>
    <row r="138" spans="2:35" ht="11.1" customHeight="1">
      <c r="B138" s="100"/>
      <c r="C138" s="100"/>
      <c r="D138" s="100"/>
      <c r="E138" s="100"/>
    </row>
    <row r="139" spans="2:35" ht="11.1" customHeight="1">
      <c r="B139" s="100"/>
      <c r="C139" s="100"/>
      <c r="D139" s="100"/>
      <c r="E139" s="100"/>
    </row>
    <row r="140" spans="2:35" ht="11.1" customHeight="1">
      <c r="B140" s="100"/>
      <c r="C140" s="100"/>
      <c r="D140" s="100"/>
      <c r="E140" s="100"/>
    </row>
    <row r="141" spans="2:35" ht="11.1" customHeight="1">
      <c r="B141" s="100"/>
      <c r="C141" s="100"/>
      <c r="D141" s="100"/>
      <c r="E141" s="100"/>
    </row>
    <row r="142" spans="2:35" ht="11.1" customHeight="1">
      <c r="B142" s="100"/>
      <c r="C142" s="100"/>
      <c r="D142" s="100"/>
      <c r="E142" s="100"/>
    </row>
    <row r="143" spans="2:35" ht="11.1" customHeight="1">
      <c r="B143" s="100"/>
      <c r="C143" s="100"/>
      <c r="D143" s="100"/>
      <c r="E143" s="100"/>
    </row>
    <row r="144" spans="2:35" ht="11.1" customHeight="1">
      <c r="B144" s="100"/>
      <c r="C144" s="100"/>
      <c r="D144" s="100"/>
      <c r="E144" s="100"/>
    </row>
    <row r="145" spans="2:5" ht="11.1" customHeight="1">
      <c r="B145" s="100"/>
      <c r="C145" s="100"/>
      <c r="D145" s="100"/>
      <c r="E145" s="100"/>
    </row>
    <row r="146" spans="2:5" ht="11.1" customHeight="1">
      <c r="B146" s="100"/>
      <c r="C146" s="100"/>
      <c r="D146" s="100"/>
      <c r="E146" s="100"/>
    </row>
    <row r="147" spans="2:5" ht="11.1" customHeight="1">
      <c r="B147" s="100"/>
      <c r="C147" s="100"/>
      <c r="D147" s="100"/>
      <c r="E147" s="100"/>
    </row>
    <row r="148" spans="2:5" ht="11.1" customHeight="1">
      <c r="B148" s="100"/>
      <c r="C148" s="100"/>
      <c r="D148" s="100"/>
      <c r="E148" s="100"/>
    </row>
    <row r="149" spans="2:5" ht="11.1" customHeight="1">
      <c r="B149" s="100"/>
      <c r="C149" s="100"/>
      <c r="D149" s="100"/>
      <c r="E149" s="100"/>
    </row>
    <row r="150" spans="2:5" ht="11.1" customHeight="1">
      <c r="B150" s="100"/>
      <c r="C150" s="100"/>
      <c r="D150" s="100"/>
      <c r="E150" s="100"/>
    </row>
    <row r="151" spans="2:5" ht="11.1" customHeight="1">
      <c r="B151" s="100"/>
      <c r="C151" s="100"/>
      <c r="D151" s="100"/>
      <c r="E151" s="100"/>
    </row>
    <row r="152" spans="2:5" ht="11.1" customHeight="1">
      <c r="B152" s="100"/>
      <c r="C152" s="100"/>
      <c r="D152" s="100"/>
      <c r="E152" s="100"/>
    </row>
    <row r="153" spans="2:5" ht="11.1" customHeight="1">
      <c r="B153" s="100"/>
      <c r="C153" s="100"/>
      <c r="D153" s="100"/>
      <c r="E153" s="100"/>
    </row>
    <row r="154" spans="2:5" ht="11.1" customHeight="1">
      <c r="B154" s="100"/>
      <c r="C154" s="100"/>
      <c r="D154" s="100"/>
      <c r="E154" s="100"/>
    </row>
    <row r="155" spans="2:5" ht="11.1" customHeight="1">
      <c r="B155" s="100"/>
      <c r="C155" s="100"/>
      <c r="D155" s="100"/>
      <c r="E155" s="100"/>
    </row>
    <row r="156" spans="2:5" ht="11.1" customHeight="1">
      <c r="B156" s="100"/>
      <c r="C156" s="100"/>
      <c r="D156" s="100"/>
      <c r="E156" s="100"/>
    </row>
    <row r="157" spans="2:5" ht="11.1" customHeight="1">
      <c r="B157" s="100"/>
      <c r="C157" s="100"/>
      <c r="D157" s="100"/>
      <c r="E157" s="100"/>
    </row>
    <row r="158" spans="2:5" ht="11.1" customHeight="1">
      <c r="B158" s="100"/>
      <c r="C158" s="100"/>
      <c r="D158" s="100"/>
      <c r="E158" s="100"/>
    </row>
    <row r="159" spans="2:5" ht="11.1" customHeight="1">
      <c r="B159" s="100"/>
      <c r="C159" s="100"/>
      <c r="D159" s="100"/>
      <c r="E159" s="100"/>
    </row>
    <row r="160" spans="2:5" ht="11.1" customHeight="1">
      <c r="B160" s="100"/>
      <c r="C160" s="100"/>
      <c r="D160" s="100"/>
      <c r="E160" s="100"/>
    </row>
    <row r="161" spans="2:5" ht="11.1" customHeight="1">
      <c r="B161" s="100"/>
      <c r="C161" s="100"/>
      <c r="D161" s="100"/>
      <c r="E161" s="100"/>
    </row>
    <row r="162" spans="2:5" ht="11.1" customHeight="1">
      <c r="B162" s="100"/>
      <c r="C162" s="100"/>
      <c r="D162" s="100"/>
      <c r="E162" s="100"/>
    </row>
    <row r="163" spans="2:5" ht="11.1" customHeight="1">
      <c r="B163" s="100"/>
      <c r="C163" s="100"/>
      <c r="D163" s="100"/>
      <c r="E163" s="100"/>
    </row>
    <row r="164" spans="2:5" ht="11.1" customHeight="1">
      <c r="B164" s="100"/>
      <c r="C164" s="100"/>
      <c r="D164" s="100"/>
      <c r="E164" s="100"/>
    </row>
    <row r="165" spans="2:5" ht="11.1" customHeight="1">
      <c r="B165" s="100"/>
      <c r="C165" s="100"/>
      <c r="D165" s="100"/>
      <c r="E165" s="100"/>
    </row>
    <row r="166" spans="2:5" ht="11.1" customHeight="1">
      <c r="B166" s="100"/>
      <c r="C166" s="100"/>
      <c r="D166" s="100"/>
      <c r="E166" s="100"/>
    </row>
    <row r="167" spans="2:5" ht="11.1" customHeight="1">
      <c r="B167" s="100"/>
      <c r="C167" s="100"/>
      <c r="D167" s="100"/>
      <c r="E167" s="100"/>
    </row>
    <row r="168" spans="2:5" ht="14.4">
      <c r="B168" s="100"/>
      <c r="C168" s="100"/>
      <c r="D168" s="100"/>
      <c r="E168" s="100"/>
    </row>
    <row r="169" spans="2:5" ht="14.4">
      <c r="B169" s="100"/>
      <c r="C169" s="100"/>
      <c r="D169" s="100"/>
      <c r="E169" s="100"/>
    </row>
    <row r="170" spans="2:5" ht="14.4">
      <c r="B170" s="100"/>
      <c r="C170" s="100"/>
      <c r="D170" s="100"/>
      <c r="E170" s="100"/>
    </row>
    <row r="171" spans="2:5" ht="14.4">
      <c r="B171" s="100"/>
      <c r="C171" s="100"/>
      <c r="D171" s="100"/>
      <c r="E171" s="100"/>
    </row>
    <row r="172" spans="2:5" ht="14.4">
      <c r="B172" s="100"/>
      <c r="C172" s="100"/>
      <c r="D172" s="100"/>
      <c r="E172" s="100"/>
    </row>
    <row r="173" spans="2:5" ht="12.75" customHeight="1">
      <c r="B173" s="100"/>
      <c r="C173" s="100"/>
      <c r="D173" s="100"/>
      <c r="E173" s="100"/>
    </row>
    <row r="174" spans="2:5" ht="12.75" customHeight="1">
      <c r="B174" s="100"/>
      <c r="C174" s="100"/>
      <c r="D174" s="100"/>
      <c r="E174" s="100"/>
    </row>
    <row r="175" spans="2:5" ht="12.75" customHeight="1">
      <c r="B175" s="100"/>
      <c r="C175" s="100"/>
      <c r="D175" s="100"/>
      <c r="E175" s="100"/>
    </row>
    <row r="176" spans="2:5" ht="12.75" customHeight="1">
      <c r="B176" s="100"/>
      <c r="C176" s="100"/>
      <c r="D176" s="100"/>
      <c r="E176" s="100"/>
    </row>
    <row r="177" spans="2:5" ht="12.75" customHeight="1">
      <c r="B177" s="100"/>
      <c r="C177" s="100"/>
      <c r="D177" s="100"/>
      <c r="E177" s="100"/>
    </row>
    <row r="178" spans="2:5" ht="12.75" customHeight="1">
      <c r="B178" s="100"/>
      <c r="C178" s="100"/>
      <c r="D178" s="100"/>
      <c r="E178" s="100"/>
    </row>
    <row r="179" spans="2:5" ht="12.75" customHeight="1">
      <c r="B179" s="100"/>
      <c r="C179" s="100"/>
      <c r="D179" s="100"/>
      <c r="E179" s="100"/>
    </row>
    <row r="180" spans="2:5" ht="12.75" customHeight="1">
      <c r="B180" s="100"/>
      <c r="C180" s="100"/>
      <c r="D180" s="100"/>
      <c r="E180" s="100"/>
    </row>
    <row r="181" spans="2:5" ht="12.75" customHeight="1">
      <c r="B181" s="100"/>
      <c r="C181" s="100"/>
      <c r="D181" s="100"/>
      <c r="E181" s="100"/>
    </row>
    <row r="182" spans="2:5" ht="12.75" customHeight="1">
      <c r="B182" s="100"/>
      <c r="C182" s="100"/>
      <c r="D182" s="100"/>
      <c r="E182" s="100"/>
    </row>
    <row r="183" spans="2:5" ht="12.75" customHeight="1">
      <c r="B183" s="100"/>
      <c r="C183" s="100"/>
      <c r="D183" s="100"/>
      <c r="E183" s="100"/>
    </row>
    <row r="184" spans="2:5" ht="12.75" customHeight="1">
      <c r="B184" s="100"/>
      <c r="C184" s="100"/>
      <c r="D184" s="100"/>
      <c r="E184" s="100"/>
    </row>
    <row r="185" spans="2:5" ht="12.75" customHeight="1">
      <c r="B185" s="100"/>
      <c r="C185" s="100"/>
      <c r="D185" s="100"/>
      <c r="E185" s="100"/>
    </row>
    <row r="186" spans="2:5" ht="12.75" customHeight="1">
      <c r="B186" s="100"/>
      <c r="C186" s="100"/>
      <c r="D186" s="100"/>
      <c r="E186" s="100"/>
    </row>
    <row r="187" spans="2:5" ht="12.75" customHeight="1">
      <c r="B187" s="100"/>
      <c r="C187" s="100"/>
      <c r="D187" s="100"/>
      <c r="E187" s="100"/>
    </row>
  </sheetData>
  <mergeCells count="13">
    <mergeCell ref="B3:C3"/>
    <mergeCell ref="G5:O5"/>
    <mergeCell ref="Q5:Y5"/>
    <mergeCell ref="AA5:AI5"/>
    <mergeCell ref="L7:O9"/>
    <mergeCell ref="V7:Y9"/>
    <mergeCell ref="AF7:AI9"/>
    <mergeCell ref="L10:O10"/>
    <mergeCell ref="V10:Y10"/>
    <mergeCell ref="AF10:AI10"/>
    <mergeCell ref="I12:K12"/>
    <mergeCell ref="S12:U12"/>
    <mergeCell ref="AC12:AE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workbookViewId="0">
      <selection activeCell="G1" sqref="G1"/>
    </sheetView>
  </sheetViews>
  <sheetFormatPr defaultRowHeight="14.4"/>
  <cols>
    <col min="1" max="1" width="3.88671875" customWidth="1"/>
    <col min="2" max="4" width="7.5546875" customWidth="1"/>
    <col min="5" max="5" width="6.6640625" customWidth="1"/>
    <col min="6" max="6" width="2.33203125" customWidth="1"/>
    <col min="7" max="7" width="5.21875" customWidth="1"/>
    <col min="8" max="8" width="1.6640625" customWidth="1"/>
    <col min="9" max="9" width="5.77734375" customWidth="1"/>
    <col min="10" max="10" width="7.44140625" customWidth="1"/>
    <col min="11" max="11" width="8.88671875" customWidth="1"/>
    <col min="12" max="13" width="7" customWidth="1"/>
    <col min="14" max="14" width="8.88671875" customWidth="1"/>
    <col min="15" max="15" width="9.33203125" customWidth="1"/>
    <col min="16" max="17" width="7.5546875" customWidth="1"/>
    <col min="18" max="18" width="5.21875" customWidth="1"/>
    <col min="19" max="19" width="6.77734375" customWidth="1"/>
    <col min="249" max="249" width="3.88671875" customWidth="1"/>
    <col min="250" max="252" width="7.5546875" customWidth="1"/>
    <col min="253" max="253" width="6.6640625" customWidth="1"/>
    <col min="254" max="254" width="2.33203125" customWidth="1"/>
    <col min="255" max="255" width="8.88671875" customWidth="1"/>
    <col min="256" max="256" width="1.6640625" customWidth="1"/>
    <col min="257" max="261" width="8.88671875" customWidth="1"/>
    <col min="262" max="262" width="3.88671875" customWidth="1"/>
    <col min="263" max="263" width="8.88671875" customWidth="1"/>
    <col min="264" max="264" width="9.33203125" customWidth="1"/>
    <col min="265" max="266" width="7.5546875" customWidth="1"/>
    <col min="505" max="505" width="3.88671875" customWidth="1"/>
    <col min="506" max="508" width="7.5546875" customWidth="1"/>
    <col min="509" max="509" width="6.6640625" customWidth="1"/>
    <col min="510" max="510" width="2.33203125" customWidth="1"/>
    <col min="511" max="511" width="8.88671875" customWidth="1"/>
    <col min="512" max="512" width="1.6640625" customWidth="1"/>
    <col min="513" max="517" width="8.88671875" customWidth="1"/>
    <col min="518" max="518" width="3.88671875" customWidth="1"/>
    <col min="519" max="519" width="8.88671875" customWidth="1"/>
    <col min="520" max="520" width="9.33203125" customWidth="1"/>
    <col min="521" max="522" width="7.5546875" customWidth="1"/>
    <col min="761" max="761" width="3.88671875" customWidth="1"/>
    <col min="762" max="764" width="7.5546875" customWidth="1"/>
    <col min="765" max="765" width="6.6640625" customWidth="1"/>
    <col min="766" max="766" width="2.33203125" customWidth="1"/>
    <col min="767" max="767" width="8.88671875" customWidth="1"/>
    <col min="768" max="768" width="1.6640625" customWidth="1"/>
    <col min="769" max="773" width="8.88671875" customWidth="1"/>
    <col min="774" max="774" width="3.88671875" customWidth="1"/>
    <col min="775" max="775" width="8.88671875" customWidth="1"/>
    <col min="776" max="776" width="9.33203125" customWidth="1"/>
    <col min="777" max="778" width="7.5546875" customWidth="1"/>
    <col min="1017" max="1017" width="3.88671875" customWidth="1"/>
    <col min="1018" max="1020" width="7.5546875" customWidth="1"/>
    <col min="1021" max="1021" width="6.6640625" customWidth="1"/>
    <col min="1022" max="1022" width="2.33203125" customWidth="1"/>
    <col min="1023" max="1023" width="8.88671875" customWidth="1"/>
    <col min="1024" max="1024" width="1.6640625" customWidth="1"/>
    <col min="1025" max="1029" width="8.88671875" customWidth="1"/>
    <col min="1030" max="1030" width="3.88671875" customWidth="1"/>
    <col min="1031" max="1031" width="8.88671875" customWidth="1"/>
    <col min="1032" max="1032" width="9.33203125" customWidth="1"/>
    <col min="1033" max="1034" width="7.5546875" customWidth="1"/>
    <col min="1273" max="1273" width="3.88671875" customWidth="1"/>
    <col min="1274" max="1276" width="7.5546875" customWidth="1"/>
    <col min="1277" max="1277" width="6.6640625" customWidth="1"/>
    <col min="1278" max="1278" width="2.33203125" customWidth="1"/>
    <col min="1279" max="1279" width="8.88671875" customWidth="1"/>
    <col min="1280" max="1280" width="1.6640625" customWidth="1"/>
    <col min="1281" max="1285" width="8.88671875" customWidth="1"/>
    <col min="1286" max="1286" width="3.88671875" customWidth="1"/>
    <col min="1287" max="1287" width="8.88671875" customWidth="1"/>
    <col min="1288" max="1288" width="9.33203125" customWidth="1"/>
    <col min="1289" max="1290" width="7.5546875" customWidth="1"/>
    <col min="1529" max="1529" width="3.88671875" customWidth="1"/>
    <col min="1530" max="1532" width="7.5546875" customWidth="1"/>
    <col min="1533" max="1533" width="6.6640625" customWidth="1"/>
    <col min="1534" max="1534" width="2.33203125" customWidth="1"/>
    <col min="1535" max="1535" width="8.88671875" customWidth="1"/>
    <col min="1536" max="1536" width="1.6640625" customWidth="1"/>
    <col min="1537" max="1541" width="8.88671875" customWidth="1"/>
    <col min="1542" max="1542" width="3.88671875" customWidth="1"/>
    <col min="1543" max="1543" width="8.88671875" customWidth="1"/>
    <col min="1544" max="1544" width="9.33203125" customWidth="1"/>
    <col min="1545" max="1546" width="7.5546875" customWidth="1"/>
    <col min="1785" max="1785" width="3.88671875" customWidth="1"/>
    <col min="1786" max="1788" width="7.5546875" customWidth="1"/>
    <col min="1789" max="1789" width="6.6640625" customWidth="1"/>
    <col min="1790" max="1790" width="2.33203125" customWidth="1"/>
    <col min="1791" max="1791" width="8.88671875" customWidth="1"/>
    <col min="1792" max="1792" width="1.6640625" customWidth="1"/>
    <col min="1793" max="1797" width="8.88671875" customWidth="1"/>
    <col min="1798" max="1798" width="3.88671875" customWidth="1"/>
    <col min="1799" max="1799" width="8.88671875" customWidth="1"/>
    <col min="1800" max="1800" width="9.33203125" customWidth="1"/>
    <col min="1801" max="1802" width="7.5546875" customWidth="1"/>
    <col min="2041" max="2041" width="3.88671875" customWidth="1"/>
    <col min="2042" max="2044" width="7.5546875" customWidth="1"/>
    <col min="2045" max="2045" width="6.6640625" customWidth="1"/>
    <col min="2046" max="2046" width="2.33203125" customWidth="1"/>
    <col min="2047" max="2047" width="8.88671875" customWidth="1"/>
    <col min="2048" max="2048" width="1.6640625" customWidth="1"/>
    <col min="2049" max="2053" width="8.88671875" customWidth="1"/>
    <col min="2054" max="2054" width="3.88671875" customWidth="1"/>
    <col min="2055" max="2055" width="8.88671875" customWidth="1"/>
    <col min="2056" max="2056" width="9.33203125" customWidth="1"/>
    <col min="2057" max="2058" width="7.5546875" customWidth="1"/>
    <col min="2297" max="2297" width="3.88671875" customWidth="1"/>
    <col min="2298" max="2300" width="7.5546875" customWidth="1"/>
    <col min="2301" max="2301" width="6.6640625" customWidth="1"/>
    <col min="2302" max="2302" width="2.33203125" customWidth="1"/>
    <col min="2303" max="2303" width="8.88671875" customWidth="1"/>
    <col min="2304" max="2304" width="1.6640625" customWidth="1"/>
    <col min="2305" max="2309" width="8.88671875" customWidth="1"/>
    <col min="2310" max="2310" width="3.88671875" customWidth="1"/>
    <col min="2311" max="2311" width="8.88671875" customWidth="1"/>
    <col min="2312" max="2312" width="9.33203125" customWidth="1"/>
    <col min="2313" max="2314" width="7.5546875" customWidth="1"/>
    <col min="2553" max="2553" width="3.88671875" customWidth="1"/>
    <col min="2554" max="2556" width="7.5546875" customWidth="1"/>
    <col min="2557" max="2557" width="6.6640625" customWidth="1"/>
    <col min="2558" max="2558" width="2.33203125" customWidth="1"/>
    <col min="2559" max="2559" width="8.88671875" customWidth="1"/>
    <col min="2560" max="2560" width="1.6640625" customWidth="1"/>
    <col min="2561" max="2565" width="8.88671875" customWidth="1"/>
    <col min="2566" max="2566" width="3.88671875" customWidth="1"/>
    <col min="2567" max="2567" width="8.88671875" customWidth="1"/>
    <col min="2568" max="2568" width="9.33203125" customWidth="1"/>
    <col min="2569" max="2570" width="7.5546875" customWidth="1"/>
    <col min="2809" max="2809" width="3.88671875" customWidth="1"/>
    <col min="2810" max="2812" width="7.5546875" customWidth="1"/>
    <col min="2813" max="2813" width="6.6640625" customWidth="1"/>
    <col min="2814" max="2814" width="2.33203125" customWidth="1"/>
    <col min="2815" max="2815" width="8.88671875" customWidth="1"/>
    <col min="2816" max="2816" width="1.6640625" customWidth="1"/>
    <col min="2817" max="2821" width="8.88671875" customWidth="1"/>
    <col min="2822" max="2822" width="3.88671875" customWidth="1"/>
    <col min="2823" max="2823" width="8.88671875" customWidth="1"/>
    <col min="2824" max="2824" width="9.33203125" customWidth="1"/>
    <col min="2825" max="2826" width="7.5546875" customWidth="1"/>
    <col min="3065" max="3065" width="3.88671875" customWidth="1"/>
    <col min="3066" max="3068" width="7.5546875" customWidth="1"/>
    <col min="3069" max="3069" width="6.6640625" customWidth="1"/>
    <col min="3070" max="3070" width="2.33203125" customWidth="1"/>
    <col min="3071" max="3071" width="8.88671875" customWidth="1"/>
    <col min="3072" max="3072" width="1.6640625" customWidth="1"/>
    <col min="3073" max="3077" width="8.88671875" customWidth="1"/>
    <col min="3078" max="3078" width="3.88671875" customWidth="1"/>
    <col min="3079" max="3079" width="8.88671875" customWidth="1"/>
    <col min="3080" max="3080" width="9.33203125" customWidth="1"/>
    <col min="3081" max="3082" width="7.5546875" customWidth="1"/>
    <col min="3321" max="3321" width="3.88671875" customWidth="1"/>
    <col min="3322" max="3324" width="7.5546875" customWidth="1"/>
    <col min="3325" max="3325" width="6.6640625" customWidth="1"/>
    <col min="3326" max="3326" width="2.33203125" customWidth="1"/>
    <col min="3327" max="3327" width="8.88671875" customWidth="1"/>
    <col min="3328" max="3328" width="1.6640625" customWidth="1"/>
    <col min="3329" max="3333" width="8.88671875" customWidth="1"/>
    <col min="3334" max="3334" width="3.88671875" customWidth="1"/>
    <col min="3335" max="3335" width="8.88671875" customWidth="1"/>
    <col min="3336" max="3336" width="9.33203125" customWidth="1"/>
    <col min="3337" max="3338" width="7.5546875" customWidth="1"/>
    <col min="3577" max="3577" width="3.88671875" customWidth="1"/>
    <col min="3578" max="3580" width="7.5546875" customWidth="1"/>
    <col min="3581" max="3581" width="6.6640625" customWidth="1"/>
    <col min="3582" max="3582" width="2.33203125" customWidth="1"/>
    <col min="3583" max="3583" width="8.88671875" customWidth="1"/>
    <col min="3584" max="3584" width="1.6640625" customWidth="1"/>
    <col min="3585" max="3589" width="8.88671875" customWidth="1"/>
    <col min="3590" max="3590" width="3.88671875" customWidth="1"/>
    <col min="3591" max="3591" width="8.88671875" customWidth="1"/>
    <col min="3592" max="3592" width="9.33203125" customWidth="1"/>
    <col min="3593" max="3594" width="7.5546875" customWidth="1"/>
    <col min="3833" max="3833" width="3.88671875" customWidth="1"/>
    <col min="3834" max="3836" width="7.5546875" customWidth="1"/>
    <col min="3837" max="3837" width="6.6640625" customWidth="1"/>
    <col min="3838" max="3838" width="2.33203125" customWidth="1"/>
    <col min="3839" max="3839" width="8.88671875" customWidth="1"/>
    <col min="3840" max="3840" width="1.6640625" customWidth="1"/>
    <col min="3841" max="3845" width="8.88671875" customWidth="1"/>
    <col min="3846" max="3846" width="3.88671875" customWidth="1"/>
    <col min="3847" max="3847" width="8.88671875" customWidth="1"/>
    <col min="3848" max="3848" width="9.33203125" customWidth="1"/>
    <col min="3849" max="3850" width="7.5546875" customWidth="1"/>
    <col min="4089" max="4089" width="3.88671875" customWidth="1"/>
    <col min="4090" max="4092" width="7.5546875" customWidth="1"/>
    <col min="4093" max="4093" width="6.6640625" customWidth="1"/>
    <col min="4094" max="4094" width="2.33203125" customWidth="1"/>
    <col min="4095" max="4095" width="8.88671875" customWidth="1"/>
    <col min="4096" max="4096" width="1.6640625" customWidth="1"/>
    <col min="4097" max="4101" width="8.88671875" customWidth="1"/>
    <col min="4102" max="4102" width="3.88671875" customWidth="1"/>
    <col min="4103" max="4103" width="8.88671875" customWidth="1"/>
    <col min="4104" max="4104" width="9.33203125" customWidth="1"/>
    <col min="4105" max="4106" width="7.5546875" customWidth="1"/>
    <col min="4345" max="4345" width="3.88671875" customWidth="1"/>
    <col min="4346" max="4348" width="7.5546875" customWidth="1"/>
    <col min="4349" max="4349" width="6.6640625" customWidth="1"/>
    <col min="4350" max="4350" width="2.33203125" customWidth="1"/>
    <col min="4351" max="4351" width="8.88671875" customWidth="1"/>
    <col min="4352" max="4352" width="1.6640625" customWidth="1"/>
    <col min="4353" max="4357" width="8.88671875" customWidth="1"/>
    <col min="4358" max="4358" width="3.88671875" customWidth="1"/>
    <col min="4359" max="4359" width="8.88671875" customWidth="1"/>
    <col min="4360" max="4360" width="9.33203125" customWidth="1"/>
    <col min="4361" max="4362" width="7.5546875" customWidth="1"/>
    <col min="4601" max="4601" width="3.88671875" customWidth="1"/>
    <col min="4602" max="4604" width="7.5546875" customWidth="1"/>
    <col min="4605" max="4605" width="6.6640625" customWidth="1"/>
    <col min="4606" max="4606" width="2.33203125" customWidth="1"/>
    <col min="4607" max="4607" width="8.88671875" customWidth="1"/>
    <col min="4608" max="4608" width="1.6640625" customWidth="1"/>
    <col min="4609" max="4613" width="8.88671875" customWidth="1"/>
    <col min="4614" max="4614" width="3.88671875" customWidth="1"/>
    <col min="4615" max="4615" width="8.88671875" customWidth="1"/>
    <col min="4616" max="4616" width="9.33203125" customWidth="1"/>
    <col min="4617" max="4618" width="7.5546875" customWidth="1"/>
    <col min="4857" max="4857" width="3.88671875" customWidth="1"/>
    <col min="4858" max="4860" width="7.5546875" customWidth="1"/>
    <col min="4861" max="4861" width="6.6640625" customWidth="1"/>
    <col min="4862" max="4862" width="2.33203125" customWidth="1"/>
    <col min="4863" max="4863" width="8.88671875" customWidth="1"/>
    <col min="4864" max="4864" width="1.6640625" customWidth="1"/>
    <col min="4865" max="4869" width="8.88671875" customWidth="1"/>
    <col min="4870" max="4870" width="3.88671875" customWidth="1"/>
    <col min="4871" max="4871" width="8.88671875" customWidth="1"/>
    <col min="4872" max="4872" width="9.33203125" customWidth="1"/>
    <col min="4873" max="4874" width="7.5546875" customWidth="1"/>
    <col min="5113" max="5113" width="3.88671875" customWidth="1"/>
    <col min="5114" max="5116" width="7.5546875" customWidth="1"/>
    <col min="5117" max="5117" width="6.6640625" customWidth="1"/>
    <col min="5118" max="5118" width="2.33203125" customWidth="1"/>
    <col min="5119" max="5119" width="8.88671875" customWidth="1"/>
    <col min="5120" max="5120" width="1.6640625" customWidth="1"/>
    <col min="5121" max="5125" width="8.88671875" customWidth="1"/>
    <col min="5126" max="5126" width="3.88671875" customWidth="1"/>
    <col min="5127" max="5127" width="8.88671875" customWidth="1"/>
    <col min="5128" max="5128" width="9.33203125" customWidth="1"/>
    <col min="5129" max="5130" width="7.5546875" customWidth="1"/>
    <col min="5369" max="5369" width="3.88671875" customWidth="1"/>
    <col min="5370" max="5372" width="7.5546875" customWidth="1"/>
    <col min="5373" max="5373" width="6.6640625" customWidth="1"/>
    <col min="5374" max="5374" width="2.33203125" customWidth="1"/>
    <col min="5375" max="5375" width="8.88671875" customWidth="1"/>
    <col min="5376" max="5376" width="1.6640625" customWidth="1"/>
    <col min="5377" max="5381" width="8.88671875" customWidth="1"/>
    <col min="5382" max="5382" width="3.88671875" customWidth="1"/>
    <col min="5383" max="5383" width="8.88671875" customWidth="1"/>
    <col min="5384" max="5384" width="9.33203125" customWidth="1"/>
    <col min="5385" max="5386" width="7.5546875" customWidth="1"/>
    <col min="5625" max="5625" width="3.88671875" customWidth="1"/>
    <col min="5626" max="5628" width="7.5546875" customWidth="1"/>
    <col min="5629" max="5629" width="6.6640625" customWidth="1"/>
    <col min="5630" max="5630" width="2.33203125" customWidth="1"/>
    <col min="5631" max="5631" width="8.88671875" customWidth="1"/>
    <col min="5632" max="5632" width="1.6640625" customWidth="1"/>
    <col min="5633" max="5637" width="8.88671875" customWidth="1"/>
    <col min="5638" max="5638" width="3.88671875" customWidth="1"/>
    <col min="5639" max="5639" width="8.88671875" customWidth="1"/>
    <col min="5640" max="5640" width="9.33203125" customWidth="1"/>
    <col min="5641" max="5642" width="7.5546875" customWidth="1"/>
    <col min="5881" max="5881" width="3.88671875" customWidth="1"/>
    <col min="5882" max="5884" width="7.5546875" customWidth="1"/>
    <col min="5885" max="5885" width="6.6640625" customWidth="1"/>
    <col min="5886" max="5886" width="2.33203125" customWidth="1"/>
    <col min="5887" max="5887" width="8.88671875" customWidth="1"/>
    <col min="5888" max="5888" width="1.6640625" customWidth="1"/>
    <col min="5889" max="5893" width="8.88671875" customWidth="1"/>
    <col min="5894" max="5894" width="3.88671875" customWidth="1"/>
    <col min="5895" max="5895" width="8.88671875" customWidth="1"/>
    <col min="5896" max="5896" width="9.33203125" customWidth="1"/>
    <col min="5897" max="5898" width="7.5546875" customWidth="1"/>
    <col min="6137" max="6137" width="3.88671875" customWidth="1"/>
    <col min="6138" max="6140" width="7.5546875" customWidth="1"/>
    <col min="6141" max="6141" width="6.6640625" customWidth="1"/>
    <col min="6142" max="6142" width="2.33203125" customWidth="1"/>
    <col min="6143" max="6143" width="8.88671875" customWidth="1"/>
    <col min="6144" max="6144" width="1.6640625" customWidth="1"/>
    <col min="6145" max="6149" width="8.88671875" customWidth="1"/>
    <col min="6150" max="6150" width="3.88671875" customWidth="1"/>
    <col min="6151" max="6151" width="8.88671875" customWidth="1"/>
    <col min="6152" max="6152" width="9.33203125" customWidth="1"/>
    <col min="6153" max="6154" width="7.5546875" customWidth="1"/>
    <col min="6393" max="6393" width="3.88671875" customWidth="1"/>
    <col min="6394" max="6396" width="7.5546875" customWidth="1"/>
    <col min="6397" max="6397" width="6.6640625" customWidth="1"/>
    <col min="6398" max="6398" width="2.33203125" customWidth="1"/>
    <col min="6399" max="6399" width="8.88671875" customWidth="1"/>
    <col min="6400" max="6400" width="1.6640625" customWidth="1"/>
    <col min="6401" max="6405" width="8.88671875" customWidth="1"/>
    <col min="6406" max="6406" width="3.88671875" customWidth="1"/>
    <col min="6407" max="6407" width="8.88671875" customWidth="1"/>
    <col min="6408" max="6408" width="9.33203125" customWidth="1"/>
    <col min="6409" max="6410" width="7.5546875" customWidth="1"/>
    <col min="6649" max="6649" width="3.88671875" customWidth="1"/>
    <col min="6650" max="6652" width="7.5546875" customWidth="1"/>
    <col min="6653" max="6653" width="6.6640625" customWidth="1"/>
    <col min="6654" max="6654" width="2.33203125" customWidth="1"/>
    <col min="6655" max="6655" width="8.88671875" customWidth="1"/>
    <col min="6656" max="6656" width="1.6640625" customWidth="1"/>
    <col min="6657" max="6661" width="8.88671875" customWidth="1"/>
    <col min="6662" max="6662" width="3.88671875" customWidth="1"/>
    <col min="6663" max="6663" width="8.88671875" customWidth="1"/>
    <col min="6664" max="6664" width="9.33203125" customWidth="1"/>
    <col min="6665" max="6666" width="7.5546875" customWidth="1"/>
    <col min="6905" max="6905" width="3.88671875" customWidth="1"/>
    <col min="6906" max="6908" width="7.5546875" customWidth="1"/>
    <col min="6909" max="6909" width="6.6640625" customWidth="1"/>
    <col min="6910" max="6910" width="2.33203125" customWidth="1"/>
    <col min="6911" max="6911" width="8.88671875" customWidth="1"/>
    <col min="6912" max="6912" width="1.6640625" customWidth="1"/>
    <col min="6913" max="6917" width="8.88671875" customWidth="1"/>
    <col min="6918" max="6918" width="3.88671875" customWidth="1"/>
    <col min="6919" max="6919" width="8.88671875" customWidth="1"/>
    <col min="6920" max="6920" width="9.33203125" customWidth="1"/>
    <col min="6921" max="6922" width="7.5546875" customWidth="1"/>
    <col min="7161" max="7161" width="3.88671875" customWidth="1"/>
    <col min="7162" max="7164" width="7.5546875" customWidth="1"/>
    <col min="7165" max="7165" width="6.6640625" customWidth="1"/>
    <col min="7166" max="7166" width="2.33203125" customWidth="1"/>
    <col min="7167" max="7167" width="8.88671875" customWidth="1"/>
    <col min="7168" max="7168" width="1.6640625" customWidth="1"/>
    <col min="7169" max="7173" width="8.88671875" customWidth="1"/>
    <col min="7174" max="7174" width="3.88671875" customWidth="1"/>
    <col min="7175" max="7175" width="8.88671875" customWidth="1"/>
    <col min="7176" max="7176" width="9.33203125" customWidth="1"/>
    <col min="7177" max="7178" width="7.5546875" customWidth="1"/>
    <col min="7417" max="7417" width="3.88671875" customWidth="1"/>
    <col min="7418" max="7420" width="7.5546875" customWidth="1"/>
    <col min="7421" max="7421" width="6.6640625" customWidth="1"/>
    <col min="7422" max="7422" width="2.33203125" customWidth="1"/>
    <col min="7423" max="7423" width="8.88671875" customWidth="1"/>
    <col min="7424" max="7424" width="1.6640625" customWidth="1"/>
    <col min="7425" max="7429" width="8.88671875" customWidth="1"/>
    <col min="7430" max="7430" width="3.88671875" customWidth="1"/>
    <col min="7431" max="7431" width="8.88671875" customWidth="1"/>
    <col min="7432" max="7432" width="9.33203125" customWidth="1"/>
    <col min="7433" max="7434" width="7.5546875" customWidth="1"/>
    <col min="7673" max="7673" width="3.88671875" customWidth="1"/>
    <col min="7674" max="7676" width="7.5546875" customWidth="1"/>
    <col min="7677" max="7677" width="6.6640625" customWidth="1"/>
    <col min="7678" max="7678" width="2.33203125" customWidth="1"/>
    <col min="7679" max="7679" width="8.88671875" customWidth="1"/>
    <col min="7680" max="7680" width="1.6640625" customWidth="1"/>
    <col min="7681" max="7685" width="8.88671875" customWidth="1"/>
    <col min="7686" max="7686" width="3.88671875" customWidth="1"/>
    <col min="7687" max="7687" width="8.88671875" customWidth="1"/>
    <col min="7688" max="7688" width="9.33203125" customWidth="1"/>
    <col min="7689" max="7690" width="7.5546875" customWidth="1"/>
    <col min="7929" max="7929" width="3.88671875" customWidth="1"/>
    <col min="7930" max="7932" width="7.5546875" customWidth="1"/>
    <col min="7933" max="7933" width="6.6640625" customWidth="1"/>
    <col min="7934" max="7934" width="2.33203125" customWidth="1"/>
    <col min="7935" max="7935" width="8.88671875" customWidth="1"/>
    <col min="7936" max="7936" width="1.6640625" customWidth="1"/>
    <col min="7937" max="7941" width="8.88671875" customWidth="1"/>
    <col min="7942" max="7942" width="3.88671875" customWidth="1"/>
    <col min="7943" max="7943" width="8.88671875" customWidth="1"/>
    <col min="7944" max="7944" width="9.33203125" customWidth="1"/>
    <col min="7945" max="7946" width="7.5546875" customWidth="1"/>
    <col min="8185" max="8185" width="3.88671875" customWidth="1"/>
    <col min="8186" max="8188" width="7.5546875" customWidth="1"/>
    <col min="8189" max="8189" width="6.6640625" customWidth="1"/>
    <col min="8190" max="8190" width="2.33203125" customWidth="1"/>
    <col min="8191" max="8191" width="8.88671875" customWidth="1"/>
    <col min="8192" max="8192" width="1.6640625" customWidth="1"/>
    <col min="8193" max="8197" width="8.88671875" customWidth="1"/>
    <col min="8198" max="8198" width="3.88671875" customWidth="1"/>
    <col min="8199" max="8199" width="8.88671875" customWidth="1"/>
    <col min="8200" max="8200" width="9.33203125" customWidth="1"/>
    <col min="8201" max="8202" width="7.5546875" customWidth="1"/>
    <col min="8441" max="8441" width="3.88671875" customWidth="1"/>
    <col min="8442" max="8444" width="7.5546875" customWidth="1"/>
    <col min="8445" max="8445" width="6.6640625" customWidth="1"/>
    <col min="8446" max="8446" width="2.33203125" customWidth="1"/>
    <col min="8447" max="8447" width="8.88671875" customWidth="1"/>
    <col min="8448" max="8448" width="1.6640625" customWidth="1"/>
    <col min="8449" max="8453" width="8.88671875" customWidth="1"/>
    <col min="8454" max="8454" width="3.88671875" customWidth="1"/>
    <col min="8455" max="8455" width="8.88671875" customWidth="1"/>
    <col min="8456" max="8456" width="9.33203125" customWidth="1"/>
    <col min="8457" max="8458" width="7.5546875" customWidth="1"/>
    <col min="8697" max="8697" width="3.88671875" customWidth="1"/>
    <col min="8698" max="8700" width="7.5546875" customWidth="1"/>
    <col min="8701" max="8701" width="6.6640625" customWidth="1"/>
    <col min="8702" max="8702" width="2.33203125" customWidth="1"/>
    <col min="8703" max="8703" width="8.88671875" customWidth="1"/>
    <col min="8704" max="8704" width="1.6640625" customWidth="1"/>
    <col min="8705" max="8709" width="8.88671875" customWidth="1"/>
    <col min="8710" max="8710" width="3.88671875" customWidth="1"/>
    <col min="8711" max="8711" width="8.88671875" customWidth="1"/>
    <col min="8712" max="8712" width="9.33203125" customWidth="1"/>
    <col min="8713" max="8714" width="7.5546875" customWidth="1"/>
    <col min="8953" max="8953" width="3.88671875" customWidth="1"/>
    <col min="8954" max="8956" width="7.5546875" customWidth="1"/>
    <col min="8957" max="8957" width="6.6640625" customWidth="1"/>
    <col min="8958" max="8958" width="2.33203125" customWidth="1"/>
    <col min="8959" max="8959" width="8.88671875" customWidth="1"/>
    <col min="8960" max="8960" width="1.6640625" customWidth="1"/>
    <col min="8961" max="8965" width="8.88671875" customWidth="1"/>
    <col min="8966" max="8966" width="3.88671875" customWidth="1"/>
    <col min="8967" max="8967" width="8.88671875" customWidth="1"/>
    <col min="8968" max="8968" width="9.33203125" customWidth="1"/>
    <col min="8969" max="8970" width="7.5546875" customWidth="1"/>
    <col min="9209" max="9209" width="3.88671875" customWidth="1"/>
    <col min="9210" max="9212" width="7.5546875" customWidth="1"/>
    <col min="9213" max="9213" width="6.6640625" customWidth="1"/>
    <col min="9214" max="9214" width="2.33203125" customWidth="1"/>
    <col min="9215" max="9215" width="8.88671875" customWidth="1"/>
    <col min="9216" max="9216" width="1.6640625" customWidth="1"/>
    <col min="9217" max="9221" width="8.88671875" customWidth="1"/>
    <col min="9222" max="9222" width="3.88671875" customWidth="1"/>
    <col min="9223" max="9223" width="8.88671875" customWidth="1"/>
    <col min="9224" max="9224" width="9.33203125" customWidth="1"/>
    <col min="9225" max="9226" width="7.5546875" customWidth="1"/>
    <col min="9465" max="9465" width="3.88671875" customWidth="1"/>
    <col min="9466" max="9468" width="7.5546875" customWidth="1"/>
    <col min="9469" max="9469" width="6.6640625" customWidth="1"/>
    <col min="9470" max="9470" width="2.33203125" customWidth="1"/>
    <col min="9471" max="9471" width="8.88671875" customWidth="1"/>
    <col min="9472" max="9472" width="1.6640625" customWidth="1"/>
    <col min="9473" max="9477" width="8.88671875" customWidth="1"/>
    <col min="9478" max="9478" width="3.88671875" customWidth="1"/>
    <col min="9479" max="9479" width="8.88671875" customWidth="1"/>
    <col min="9480" max="9480" width="9.33203125" customWidth="1"/>
    <col min="9481" max="9482" width="7.5546875" customWidth="1"/>
    <col min="9721" max="9721" width="3.88671875" customWidth="1"/>
    <col min="9722" max="9724" width="7.5546875" customWidth="1"/>
    <col min="9725" max="9725" width="6.6640625" customWidth="1"/>
    <col min="9726" max="9726" width="2.33203125" customWidth="1"/>
    <col min="9727" max="9727" width="8.88671875" customWidth="1"/>
    <col min="9728" max="9728" width="1.6640625" customWidth="1"/>
    <col min="9729" max="9733" width="8.88671875" customWidth="1"/>
    <col min="9734" max="9734" width="3.88671875" customWidth="1"/>
    <col min="9735" max="9735" width="8.88671875" customWidth="1"/>
    <col min="9736" max="9736" width="9.33203125" customWidth="1"/>
    <col min="9737" max="9738" width="7.5546875" customWidth="1"/>
    <col min="9977" max="9977" width="3.88671875" customWidth="1"/>
    <col min="9978" max="9980" width="7.5546875" customWidth="1"/>
    <col min="9981" max="9981" width="6.6640625" customWidth="1"/>
    <col min="9982" max="9982" width="2.33203125" customWidth="1"/>
    <col min="9983" max="9983" width="8.88671875" customWidth="1"/>
    <col min="9984" max="9984" width="1.6640625" customWidth="1"/>
    <col min="9985" max="9989" width="8.88671875" customWidth="1"/>
    <col min="9990" max="9990" width="3.88671875" customWidth="1"/>
    <col min="9991" max="9991" width="8.88671875" customWidth="1"/>
    <col min="9992" max="9992" width="9.33203125" customWidth="1"/>
    <col min="9993" max="9994" width="7.5546875" customWidth="1"/>
    <col min="10233" max="10233" width="3.88671875" customWidth="1"/>
    <col min="10234" max="10236" width="7.5546875" customWidth="1"/>
    <col min="10237" max="10237" width="6.6640625" customWidth="1"/>
    <col min="10238" max="10238" width="2.33203125" customWidth="1"/>
    <col min="10239" max="10239" width="8.88671875" customWidth="1"/>
    <col min="10240" max="10240" width="1.6640625" customWidth="1"/>
    <col min="10241" max="10245" width="8.88671875" customWidth="1"/>
    <col min="10246" max="10246" width="3.88671875" customWidth="1"/>
    <col min="10247" max="10247" width="8.88671875" customWidth="1"/>
    <col min="10248" max="10248" width="9.33203125" customWidth="1"/>
    <col min="10249" max="10250" width="7.5546875" customWidth="1"/>
    <col min="10489" max="10489" width="3.88671875" customWidth="1"/>
    <col min="10490" max="10492" width="7.5546875" customWidth="1"/>
    <col min="10493" max="10493" width="6.6640625" customWidth="1"/>
    <col min="10494" max="10494" width="2.33203125" customWidth="1"/>
    <col min="10495" max="10495" width="8.88671875" customWidth="1"/>
    <col min="10496" max="10496" width="1.6640625" customWidth="1"/>
    <col min="10497" max="10501" width="8.88671875" customWidth="1"/>
    <col min="10502" max="10502" width="3.88671875" customWidth="1"/>
    <col min="10503" max="10503" width="8.88671875" customWidth="1"/>
    <col min="10504" max="10504" width="9.33203125" customWidth="1"/>
    <col min="10505" max="10506" width="7.5546875" customWidth="1"/>
    <col min="10745" max="10745" width="3.88671875" customWidth="1"/>
    <col min="10746" max="10748" width="7.5546875" customWidth="1"/>
    <col min="10749" max="10749" width="6.6640625" customWidth="1"/>
    <col min="10750" max="10750" width="2.33203125" customWidth="1"/>
    <col min="10751" max="10751" width="8.88671875" customWidth="1"/>
    <col min="10752" max="10752" width="1.6640625" customWidth="1"/>
    <col min="10753" max="10757" width="8.88671875" customWidth="1"/>
    <col min="10758" max="10758" width="3.88671875" customWidth="1"/>
    <col min="10759" max="10759" width="8.88671875" customWidth="1"/>
    <col min="10760" max="10760" width="9.33203125" customWidth="1"/>
    <col min="10761" max="10762" width="7.5546875" customWidth="1"/>
    <col min="11001" max="11001" width="3.88671875" customWidth="1"/>
    <col min="11002" max="11004" width="7.5546875" customWidth="1"/>
    <col min="11005" max="11005" width="6.6640625" customWidth="1"/>
    <col min="11006" max="11006" width="2.33203125" customWidth="1"/>
    <col min="11007" max="11007" width="8.88671875" customWidth="1"/>
    <col min="11008" max="11008" width="1.6640625" customWidth="1"/>
    <col min="11009" max="11013" width="8.88671875" customWidth="1"/>
    <col min="11014" max="11014" width="3.88671875" customWidth="1"/>
    <col min="11015" max="11015" width="8.88671875" customWidth="1"/>
    <col min="11016" max="11016" width="9.33203125" customWidth="1"/>
    <col min="11017" max="11018" width="7.5546875" customWidth="1"/>
    <col min="11257" max="11257" width="3.88671875" customWidth="1"/>
    <col min="11258" max="11260" width="7.5546875" customWidth="1"/>
    <col min="11261" max="11261" width="6.6640625" customWidth="1"/>
    <col min="11262" max="11262" width="2.33203125" customWidth="1"/>
    <col min="11263" max="11263" width="8.88671875" customWidth="1"/>
    <col min="11264" max="11264" width="1.6640625" customWidth="1"/>
    <col min="11265" max="11269" width="8.88671875" customWidth="1"/>
    <col min="11270" max="11270" width="3.88671875" customWidth="1"/>
    <col min="11271" max="11271" width="8.88671875" customWidth="1"/>
    <col min="11272" max="11272" width="9.33203125" customWidth="1"/>
    <col min="11273" max="11274" width="7.5546875" customWidth="1"/>
    <col min="11513" max="11513" width="3.88671875" customWidth="1"/>
    <col min="11514" max="11516" width="7.5546875" customWidth="1"/>
    <col min="11517" max="11517" width="6.6640625" customWidth="1"/>
    <col min="11518" max="11518" width="2.33203125" customWidth="1"/>
    <col min="11519" max="11519" width="8.88671875" customWidth="1"/>
    <col min="11520" max="11520" width="1.6640625" customWidth="1"/>
    <col min="11521" max="11525" width="8.88671875" customWidth="1"/>
    <col min="11526" max="11526" width="3.88671875" customWidth="1"/>
    <col min="11527" max="11527" width="8.88671875" customWidth="1"/>
    <col min="11528" max="11528" width="9.33203125" customWidth="1"/>
    <col min="11529" max="11530" width="7.5546875" customWidth="1"/>
    <col min="11769" max="11769" width="3.88671875" customWidth="1"/>
    <col min="11770" max="11772" width="7.5546875" customWidth="1"/>
    <col min="11773" max="11773" width="6.6640625" customWidth="1"/>
    <col min="11774" max="11774" width="2.33203125" customWidth="1"/>
    <col min="11775" max="11775" width="8.88671875" customWidth="1"/>
    <col min="11776" max="11776" width="1.6640625" customWidth="1"/>
    <col min="11777" max="11781" width="8.88671875" customWidth="1"/>
    <col min="11782" max="11782" width="3.88671875" customWidth="1"/>
    <col min="11783" max="11783" width="8.88671875" customWidth="1"/>
    <col min="11784" max="11784" width="9.33203125" customWidth="1"/>
    <col min="11785" max="11786" width="7.5546875" customWidth="1"/>
    <col min="12025" max="12025" width="3.88671875" customWidth="1"/>
    <col min="12026" max="12028" width="7.5546875" customWidth="1"/>
    <col min="12029" max="12029" width="6.6640625" customWidth="1"/>
    <col min="12030" max="12030" width="2.33203125" customWidth="1"/>
    <col min="12031" max="12031" width="8.88671875" customWidth="1"/>
    <col min="12032" max="12032" width="1.6640625" customWidth="1"/>
    <col min="12033" max="12037" width="8.88671875" customWidth="1"/>
    <col min="12038" max="12038" width="3.88671875" customWidth="1"/>
    <col min="12039" max="12039" width="8.88671875" customWidth="1"/>
    <col min="12040" max="12040" width="9.33203125" customWidth="1"/>
    <col min="12041" max="12042" width="7.5546875" customWidth="1"/>
    <col min="12281" max="12281" width="3.88671875" customWidth="1"/>
    <col min="12282" max="12284" width="7.5546875" customWidth="1"/>
    <col min="12285" max="12285" width="6.6640625" customWidth="1"/>
    <col min="12286" max="12286" width="2.33203125" customWidth="1"/>
    <col min="12287" max="12287" width="8.88671875" customWidth="1"/>
    <col min="12288" max="12288" width="1.6640625" customWidth="1"/>
    <col min="12289" max="12293" width="8.88671875" customWidth="1"/>
    <col min="12294" max="12294" width="3.88671875" customWidth="1"/>
    <col min="12295" max="12295" width="8.88671875" customWidth="1"/>
    <col min="12296" max="12296" width="9.33203125" customWidth="1"/>
    <col min="12297" max="12298" width="7.5546875" customWidth="1"/>
    <col min="12537" max="12537" width="3.88671875" customWidth="1"/>
    <col min="12538" max="12540" width="7.5546875" customWidth="1"/>
    <col min="12541" max="12541" width="6.6640625" customWidth="1"/>
    <col min="12542" max="12542" width="2.33203125" customWidth="1"/>
    <col min="12543" max="12543" width="8.88671875" customWidth="1"/>
    <col min="12544" max="12544" width="1.6640625" customWidth="1"/>
    <col min="12545" max="12549" width="8.88671875" customWidth="1"/>
    <col min="12550" max="12550" width="3.88671875" customWidth="1"/>
    <col min="12551" max="12551" width="8.88671875" customWidth="1"/>
    <col min="12552" max="12552" width="9.33203125" customWidth="1"/>
    <col min="12553" max="12554" width="7.5546875" customWidth="1"/>
    <col min="12793" max="12793" width="3.88671875" customWidth="1"/>
    <col min="12794" max="12796" width="7.5546875" customWidth="1"/>
    <col min="12797" max="12797" width="6.6640625" customWidth="1"/>
    <col min="12798" max="12798" width="2.33203125" customWidth="1"/>
    <col min="12799" max="12799" width="8.88671875" customWidth="1"/>
    <col min="12800" max="12800" width="1.6640625" customWidth="1"/>
    <col min="12801" max="12805" width="8.88671875" customWidth="1"/>
    <col min="12806" max="12806" width="3.88671875" customWidth="1"/>
    <col min="12807" max="12807" width="8.88671875" customWidth="1"/>
    <col min="12808" max="12808" width="9.33203125" customWidth="1"/>
    <col min="12809" max="12810" width="7.5546875" customWidth="1"/>
    <col min="13049" max="13049" width="3.88671875" customWidth="1"/>
    <col min="13050" max="13052" width="7.5546875" customWidth="1"/>
    <col min="13053" max="13053" width="6.6640625" customWidth="1"/>
    <col min="13054" max="13054" width="2.33203125" customWidth="1"/>
    <col min="13055" max="13055" width="8.88671875" customWidth="1"/>
    <col min="13056" max="13056" width="1.6640625" customWidth="1"/>
    <col min="13057" max="13061" width="8.88671875" customWidth="1"/>
    <col min="13062" max="13062" width="3.88671875" customWidth="1"/>
    <col min="13063" max="13063" width="8.88671875" customWidth="1"/>
    <col min="13064" max="13064" width="9.33203125" customWidth="1"/>
    <col min="13065" max="13066" width="7.5546875" customWidth="1"/>
    <col min="13305" max="13305" width="3.88671875" customWidth="1"/>
    <col min="13306" max="13308" width="7.5546875" customWidth="1"/>
    <col min="13309" max="13309" width="6.6640625" customWidth="1"/>
    <col min="13310" max="13310" width="2.33203125" customWidth="1"/>
    <col min="13311" max="13311" width="8.88671875" customWidth="1"/>
    <col min="13312" max="13312" width="1.6640625" customWidth="1"/>
    <col min="13313" max="13317" width="8.88671875" customWidth="1"/>
    <col min="13318" max="13318" width="3.88671875" customWidth="1"/>
    <col min="13319" max="13319" width="8.88671875" customWidth="1"/>
    <col min="13320" max="13320" width="9.33203125" customWidth="1"/>
    <col min="13321" max="13322" width="7.5546875" customWidth="1"/>
    <col min="13561" max="13561" width="3.88671875" customWidth="1"/>
    <col min="13562" max="13564" width="7.5546875" customWidth="1"/>
    <col min="13565" max="13565" width="6.6640625" customWidth="1"/>
    <col min="13566" max="13566" width="2.33203125" customWidth="1"/>
    <col min="13567" max="13567" width="8.88671875" customWidth="1"/>
    <col min="13568" max="13568" width="1.6640625" customWidth="1"/>
    <col min="13569" max="13573" width="8.88671875" customWidth="1"/>
    <col min="13574" max="13574" width="3.88671875" customWidth="1"/>
    <col min="13575" max="13575" width="8.88671875" customWidth="1"/>
    <col min="13576" max="13576" width="9.33203125" customWidth="1"/>
    <col min="13577" max="13578" width="7.5546875" customWidth="1"/>
    <col min="13817" max="13817" width="3.88671875" customWidth="1"/>
    <col min="13818" max="13820" width="7.5546875" customWidth="1"/>
    <col min="13821" max="13821" width="6.6640625" customWidth="1"/>
    <col min="13822" max="13822" width="2.33203125" customWidth="1"/>
    <col min="13823" max="13823" width="8.88671875" customWidth="1"/>
    <col min="13824" max="13824" width="1.6640625" customWidth="1"/>
    <col min="13825" max="13829" width="8.88671875" customWidth="1"/>
    <col min="13830" max="13830" width="3.88671875" customWidth="1"/>
    <col min="13831" max="13831" width="8.88671875" customWidth="1"/>
    <col min="13832" max="13832" width="9.33203125" customWidth="1"/>
    <col min="13833" max="13834" width="7.5546875" customWidth="1"/>
    <col min="14073" max="14073" width="3.88671875" customWidth="1"/>
    <col min="14074" max="14076" width="7.5546875" customWidth="1"/>
    <col min="14077" max="14077" width="6.6640625" customWidth="1"/>
    <col min="14078" max="14078" width="2.33203125" customWidth="1"/>
    <col min="14079" max="14079" width="8.88671875" customWidth="1"/>
    <col min="14080" max="14080" width="1.6640625" customWidth="1"/>
    <col min="14081" max="14085" width="8.88671875" customWidth="1"/>
    <col min="14086" max="14086" width="3.88671875" customWidth="1"/>
    <col min="14087" max="14087" width="8.88671875" customWidth="1"/>
    <col min="14088" max="14088" width="9.33203125" customWidth="1"/>
    <col min="14089" max="14090" width="7.5546875" customWidth="1"/>
    <col min="14329" max="14329" width="3.88671875" customWidth="1"/>
    <col min="14330" max="14332" width="7.5546875" customWidth="1"/>
    <col min="14333" max="14333" width="6.6640625" customWidth="1"/>
    <col min="14334" max="14334" width="2.33203125" customWidth="1"/>
    <col min="14335" max="14335" width="8.88671875" customWidth="1"/>
    <col min="14336" max="14336" width="1.6640625" customWidth="1"/>
    <col min="14337" max="14341" width="8.88671875" customWidth="1"/>
    <col min="14342" max="14342" width="3.88671875" customWidth="1"/>
    <col min="14343" max="14343" width="8.88671875" customWidth="1"/>
    <col min="14344" max="14344" width="9.33203125" customWidth="1"/>
    <col min="14345" max="14346" width="7.5546875" customWidth="1"/>
    <col min="14585" max="14585" width="3.88671875" customWidth="1"/>
    <col min="14586" max="14588" width="7.5546875" customWidth="1"/>
    <col min="14589" max="14589" width="6.6640625" customWidth="1"/>
    <col min="14590" max="14590" width="2.33203125" customWidth="1"/>
    <col min="14591" max="14591" width="8.88671875" customWidth="1"/>
    <col min="14592" max="14592" width="1.6640625" customWidth="1"/>
    <col min="14593" max="14597" width="8.88671875" customWidth="1"/>
    <col min="14598" max="14598" width="3.88671875" customWidth="1"/>
    <col min="14599" max="14599" width="8.88671875" customWidth="1"/>
    <col min="14600" max="14600" width="9.33203125" customWidth="1"/>
    <col min="14601" max="14602" width="7.5546875" customWidth="1"/>
    <col min="14841" max="14841" width="3.88671875" customWidth="1"/>
    <col min="14842" max="14844" width="7.5546875" customWidth="1"/>
    <col min="14845" max="14845" width="6.6640625" customWidth="1"/>
    <col min="14846" max="14846" width="2.33203125" customWidth="1"/>
    <col min="14847" max="14847" width="8.88671875" customWidth="1"/>
    <col min="14848" max="14848" width="1.6640625" customWidth="1"/>
    <col min="14849" max="14853" width="8.88671875" customWidth="1"/>
    <col min="14854" max="14854" width="3.88671875" customWidth="1"/>
    <col min="14855" max="14855" width="8.88671875" customWidth="1"/>
    <col min="14856" max="14856" width="9.33203125" customWidth="1"/>
    <col min="14857" max="14858" width="7.5546875" customWidth="1"/>
    <col min="15097" max="15097" width="3.88671875" customWidth="1"/>
    <col min="15098" max="15100" width="7.5546875" customWidth="1"/>
    <col min="15101" max="15101" width="6.6640625" customWidth="1"/>
    <col min="15102" max="15102" width="2.33203125" customWidth="1"/>
    <col min="15103" max="15103" width="8.88671875" customWidth="1"/>
    <col min="15104" max="15104" width="1.6640625" customWidth="1"/>
    <col min="15105" max="15109" width="8.88671875" customWidth="1"/>
    <col min="15110" max="15110" width="3.88671875" customWidth="1"/>
    <col min="15111" max="15111" width="8.88671875" customWidth="1"/>
    <col min="15112" max="15112" width="9.33203125" customWidth="1"/>
    <col min="15113" max="15114" width="7.5546875" customWidth="1"/>
    <col min="15353" max="15353" width="3.88671875" customWidth="1"/>
    <col min="15354" max="15356" width="7.5546875" customWidth="1"/>
    <col min="15357" max="15357" width="6.6640625" customWidth="1"/>
    <col min="15358" max="15358" width="2.33203125" customWidth="1"/>
    <col min="15359" max="15359" width="8.88671875" customWidth="1"/>
    <col min="15360" max="15360" width="1.6640625" customWidth="1"/>
    <col min="15361" max="15365" width="8.88671875" customWidth="1"/>
    <col min="15366" max="15366" width="3.88671875" customWidth="1"/>
    <col min="15367" max="15367" width="8.88671875" customWidth="1"/>
    <col min="15368" max="15368" width="9.33203125" customWidth="1"/>
    <col min="15369" max="15370" width="7.5546875" customWidth="1"/>
    <col min="15609" max="15609" width="3.88671875" customWidth="1"/>
    <col min="15610" max="15612" width="7.5546875" customWidth="1"/>
    <col min="15613" max="15613" width="6.6640625" customWidth="1"/>
    <col min="15614" max="15614" width="2.33203125" customWidth="1"/>
    <col min="15615" max="15615" width="8.88671875" customWidth="1"/>
    <col min="15616" max="15616" width="1.6640625" customWidth="1"/>
    <col min="15617" max="15621" width="8.88671875" customWidth="1"/>
    <col min="15622" max="15622" width="3.88671875" customWidth="1"/>
    <col min="15623" max="15623" width="8.88671875" customWidth="1"/>
    <col min="15624" max="15624" width="9.33203125" customWidth="1"/>
    <col min="15625" max="15626" width="7.5546875" customWidth="1"/>
    <col min="15865" max="15865" width="3.88671875" customWidth="1"/>
    <col min="15866" max="15868" width="7.5546875" customWidth="1"/>
    <col min="15869" max="15869" width="6.6640625" customWidth="1"/>
    <col min="15870" max="15870" width="2.33203125" customWidth="1"/>
    <col min="15871" max="15871" width="8.88671875" customWidth="1"/>
    <col min="15872" max="15872" width="1.6640625" customWidth="1"/>
    <col min="15873" max="15877" width="8.88671875" customWidth="1"/>
    <col min="15878" max="15878" width="3.88671875" customWidth="1"/>
    <col min="15879" max="15879" width="8.88671875" customWidth="1"/>
    <col min="15880" max="15880" width="9.33203125" customWidth="1"/>
    <col min="15881" max="15882" width="7.5546875" customWidth="1"/>
    <col min="16121" max="16121" width="3.88671875" customWidth="1"/>
    <col min="16122" max="16124" width="7.5546875" customWidth="1"/>
    <col min="16125" max="16125" width="6.6640625" customWidth="1"/>
    <col min="16126" max="16126" width="2.33203125" customWidth="1"/>
    <col min="16127" max="16127" width="8.88671875" customWidth="1"/>
    <col min="16128" max="16128" width="1.6640625" customWidth="1"/>
    <col min="16129" max="16133" width="8.88671875" customWidth="1"/>
    <col min="16134" max="16134" width="3.88671875" customWidth="1"/>
    <col min="16135" max="16135" width="8.88671875" customWidth="1"/>
    <col min="16136" max="16136" width="9.33203125" customWidth="1"/>
    <col min="16137" max="16138" width="7.5546875" customWidth="1"/>
  </cols>
  <sheetData>
    <row r="1" spans="2:27">
      <c r="D1" s="22"/>
      <c r="G1" s="22"/>
    </row>
    <row r="2" spans="2:27">
      <c r="C2" s="22"/>
      <c r="D2" s="22"/>
    </row>
    <row r="3" spans="2:27">
      <c r="B3" s="22" t="s">
        <v>41</v>
      </c>
      <c r="C3" s="22"/>
      <c r="D3" s="22"/>
      <c r="E3" s="318" t="s">
        <v>42</v>
      </c>
      <c r="F3" s="329"/>
      <c r="G3" s="319"/>
      <c r="H3" s="22"/>
      <c r="I3" s="22"/>
      <c r="J3" s="22"/>
    </row>
    <row r="4" spans="2:27" ht="6" customHeight="1" thickBo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27" ht="11.1" customHeight="1" thickBot="1">
      <c r="B5" s="35" t="s">
        <v>43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6"/>
      <c r="O5" s="36"/>
      <c r="P5" s="35" t="s">
        <v>49</v>
      </c>
      <c r="Q5" s="36"/>
      <c r="R5" s="36"/>
      <c r="S5" s="36"/>
      <c r="T5" s="36"/>
    </row>
    <row r="6" spans="2:27" ht="11.25" customHeight="1">
      <c r="B6" s="28" t="s">
        <v>44</v>
      </c>
      <c r="C6" s="29"/>
      <c r="D6" s="330" t="s">
        <v>220</v>
      </c>
      <c r="E6" s="331"/>
      <c r="F6" s="331"/>
      <c r="G6" s="331"/>
      <c r="H6" s="332"/>
      <c r="I6" s="323" t="s">
        <v>176</v>
      </c>
      <c r="J6" s="324"/>
      <c r="K6" s="324"/>
      <c r="L6" s="324"/>
      <c r="M6" s="339"/>
      <c r="N6" s="40"/>
      <c r="O6" s="125"/>
      <c r="P6" s="125"/>
      <c r="Q6" s="125"/>
      <c r="R6" s="42"/>
      <c r="S6" s="42"/>
      <c r="T6" s="42" t="s">
        <v>179</v>
      </c>
    </row>
    <row r="7" spans="2:27" ht="11.25" customHeight="1">
      <c r="B7" s="30" t="s">
        <v>45</v>
      </c>
      <c r="C7" s="31"/>
      <c r="D7" s="333"/>
      <c r="E7" s="334"/>
      <c r="F7" s="334"/>
      <c r="G7" s="334"/>
      <c r="H7" s="335"/>
      <c r="I7" s="326"/>
      <c r="J7" s="327"/>
      <c r="K7" s="327"/>
      <c r="L7" s="327"/>
      <c r="M7" s="340"/>
      <c r="N7" s="46"/>
      <c r="O7" s="29"/>
      <c r="P7" s="29"/>
      <c r="Q7" s="29"/>
      <c r="R7" s="42"/>
      <c r="S7" s="42"/>
      <c r="T7" s="42"/>
    </row>
    <row r="8" spans="2:27" ht="11.25" customHeight="1" thickBot="1">
      <c r="B8" s="30" t="s">
        <v>46</v>
      </c>
      <c r="C8" s="32"/>
      <c r="D8" s="336" t="s">
        <v>47</v>
      </c>
      <c r="E8" s="337"/>
      <c r="F8" s="337"/>
      <c r="G8" s="337"/>
      <c r="H8" s="338"/>
      <c r="I8" s="341"/>
      <c r="J8" s="342"/>
      <c r="K8" s="342"/>
      <c r="L8" s="342"/>
      <c r="M8" s="343"/>
      <c r="N8" s="46" t="s">
        <v>60</v>
      </c>
      <c r="O8" s="29"/>
      <c r="P8" s="29"/>
      <c r="Q8" s="48" t="s">
        <v>61</v>
      </c>
      <c r="R8" s="42" t="s">
        <v>11</v>
      </c>
      <c r="S8" s="48" t="s">
        <v>12</v>
      </c>
      <c r="T8" s="42">
        <f>K17</f>
        <v>1548.1285620915355</v>
      </c>
      <c r="V8" s="22"/>
      <c r="W8" s="22"/>
      <c r="X8" s="21"/>
      <c r="Y8" s="21"/>
      <c r="Z8" s="21"/>
      <c r="AA8" s="21"/>
    </row>
    <row r="9" spans="2:27" ht="11.1" customHeight="1" thickBot="1">
      <c r="B9" s="35" t="s">
        <v>177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N9" s="46" t="s">
        <v>13</v>
      </c>
      <c r="O9" s="29"/>
      <c r="P9" s="29"/>
      <c r="Q9" s="48" t="s">
        <v>64</v>
      </c>
      <c r="R9" s="42" t="s">
        <v>14</v>
      </c>
      <c r="S9" s="48" t="s">
        <v>12</v>
      </c>
      <c r="T9" s="42">
        <f>K18</f>
        <v>30</v>
      </c>
      <c r="U9" s="21"/>
      <c r="V9" s="224"/>
      <c r="X9" s="21"/>
      <c r="Y9" s="21"/>
      <c r="Z9" s="21"/>
      <c r="AA9" s="21"/>
    </row>
    <row r="10" spans="2:27" ht="11.1" customHeight="1">
      <c r="B10" s="39" t="s">
        <v>50</v>
      </c>
      <c r="C10" s="29"/>
      <c r="D10" s="29"/>
      <c r="E10" s="29"/>
      <c r="F10" s="330" t="s">
        <v>51</v>
      </c>
      <c r="G10" s="331"/>
      <c r="H10" s="332"/>
      <c r="I10" s="21" t="s">
        <v>178</v>
      </c>
      <c r="J10" s="29"/>
      <c r="K10" s="29"/>
      <c r="L10" s="48" t="s">
        <v>61</v>
      </c>
      <c r="M10" s="50">
        <f>((4*(F12/F13-F12)*(F11*0.01602)+4*F12))/(F11*0.01602)</f>
        <v>3096.257124183071</v>
      </c>
      <c r="N10" s="46" t="s">
        <v>65</v>
      </c>
      <c r="O10" s="29"/>
      <c r="P10" s="29"/>
      <c r="Q10" s="48"/>
      <c r="R10" s="42" t="s">
        <v>66</v>
      </c>
      <c r="S10" s="48" t="s">
        <v>12</v>
      </c>
      <c r="T10" s="42">
        <f>$M13</f>
        <v>2</v>
      </c>
      <c r="U10" s="22"/>
      <c r="V10" s="21"/>
      <c r="W10" s="21"/>
      <c r="X10" s="21"/>
    </row>
    <row r="11" spans="2:27" ht="11.1" customHeight="1">
      <c r="B11" s="43" t="s">
        <v>52</v>
      </c>
      <c r="C11" s="31"/>
      <c r="D11" s="31"/>
      <c r="E11" s="68" t="s">
        <v>53</v>
      </c>
      <c r="F11" s="347">
        <f>'Flowsheet Balance'!K32</f>
        <v>168.57426133256084</v>
      </c>
      <c r="G11" s="348"/>
      <c r="H11" s="349"/>
      <c r="I11" s="21" t="s">
        <v>54</v>
      </c>
      <c r="J11" s="31"/>
      <c r="K11" s="31"/>
      <c r="L11" s="99" t="s">
        <v>55</v>
      </c>
      <c r="M11" s="45">
        <v>15</v>
      </c>
      <c r="N11" s="46" t="s">
        <v>67</v>
      </c>
      <c r="O11" s="29"/>
      <c r="P11" s="29"/>
      <c r="Q11" s="48"/>
      <c r="R11" s="42"/>
      <c r="S11" s="48" t="s">
        <v>12</v>
      </c>
      <c r="T11" s="42">
        <f>$F13</f>
        <v>0.24364670830937624</v>
      </c>
      <c r="U11" s="22"/>
      <c r="V11" s="21"/>
      <c r="W11" s="21"/>
      <c r="X11" s="21"/>
    </row>
    <row r="12" spans="2:27" ht="11.1" customHeight="1">
      <c r="B12" s="30" t="s">
        <v>56</v>
      </c>
      <c r="C12" s="31"/>
      <c r="D12" s="31"/>
      <c r="E12" s="68" t="s">
        <v>57</v>
      </c>
      <c r="F12" s="350">
        <f>K51</f>
        <v>222.77814952247701</v>
      </c>
      <c r="G12" s="351"/>
      <c r="H12" s="352"/>
      <c r="I12" s="21" t="s">
        <v>58</v>
      </c>
      <c r="J12" s="31"/>
      <c r="K12" s="31"/>
      <c r="L12" s="48" t="s">
        <v>59</v>
      </c>
      <c r="M12" s="47">
        <v>0.5</v>
      </c>
      <c r="N12" s="46" t="s">
        <v>69</v>
      </c>
      <c r="O12" s="29"/>
      <c r="P12" s="29"/>
      <c r="Q12" s="48" t="s">
        <v>55</v>
      </c>
      <c r="R12" s="42" t="s">
        <v>32</v>
      </c>
      <c r="S12" s="48" t="s">
        <v>12</v>
      </c>
      <c r="T12" s="42">
        <f>K34</f>
        <v>5.9149846924420535</v>
      </c>
      <c r="V12" s="21"/>
    </row>
    <row r="13" spans="2:27" ht="11.1" customHeight="1" thickBot="1">
      <c r="B13" s="30" t="s">
        <v>62</v>
      </c>
      <c r="C13" s="31"/>
      <c r="D13" s="31"/>
      <c r="E13" s="68" t="s">
        <v>63</v>
      </c>
      <c r="F13" s="353">
        <f>'Flowsheet Balance'!K34</f>
        <v>0.24364670830937624</v>
      </c>
      <c r="G13" s="354"/>
      <c r="H13" s="355"/>
      <c r="I13" s="31" t="s">
        <v>65</v>
      </c>
      <c r="J13" s="31"/>
      <c r="K13" s="31"/>
      <c r="L13" s="226"/>
      <c r="M13" s="227">
        <v>2</v>
      </c>
      <c r="N13" s="46" t="s">
        <v>70</v>
      </c>
      <c r="O13" s="29"/>
      <c r="P13" s="29"/>
      <c r="Q13" s="29"/>
      <c r="R13" s="42"/>
      <c r="S13" s="48" t="s">
        <v>12</v>
      </c>
      <c r="T13" s="42">
        <f>$F11*0.01601668</f>
        <v>2.7</v>
      </c>
      <c r="V13" s="21"/>
    </row>
    <row r="14" spans="2:27" ht="11.1" customHeight="1" thickBot="1">
      <c r="B14" s="344" t="s">
        <v>180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6"/>
      <c r="N14" s="46" t="s">
        <v>71</v>
      </c>
      <c r="O14" s="29"/>
      <c r="P14" s="29"/>
      <c r="Q14" s="29"/>
      <c r="R14" s="42"/>
      <c r="S14" s="48" t="s">
        <v>12</v>
      </c>
      <c r="T14" s="42">
        <v>1</v>
      </c>
      <c r="V14" s="21"/>
    </row>
    <row r="15" spans="2:27" ht="11.1" customHeight="1">
      <c r="B15" s="40"/>
      <c r="C15" s="125"/>
      <c r="D15" s="125"/>
      <c r="E15" s="125"/>
      <c r="F15" s="125"/>
      <c r="G15" s="42"/>
      <c r="H15" s="42"/>
      <c r="I15" s="42"/>
      <c r="J15" s="42"/>
      <c r="K15" s="228" t="s">
        <v>179</v>
      </c>
      <c r="L15" s="42"/>
      <c r="M15" s="53"/>
      <c r="N15" s="46" t="s">
        <v>73</v>
      </c>
      <c r="O15" s="29"/>
      <c r="P15" s="29"/>
      <c r="Q15" s="29"/>
      <c r="R15" s="42"/>
      <c r="S15" s="48" t="s">
        <v>12</v>
      </c>
      <c r="T15" s="56">
        <v>800</v>
      </c>
      <c r="V15" s="21"/>
    </row>
    <row r="16" spans="2:27" ht="11.1" customHeight="1">
      <c r="B16" s="46"/>
      <c r="C16" s="29"/>
      <c r="D16" s="29"/>
      <c r="E16" s="29"/>
      <c r="F16" s="54"/>
      <c r="G16" s="42"/>
      <c r="H16" s="42"/>
      <c r="I16" s="42"/>
      <c r="J16" s="42"/>
      <c r="K16" s="42"/>
      <c r="L16" s="42"/>
      <c r="M16" s="55"/>
      <c r="N16" s="46" t="s">
        <v>76</v>
      </c>
      <c r="O16" s="29"/>
      <c r="P16" s="29"/>
      <c r="Q16" s="29"/>
      <c r="R16" s="42"/>
      <c r="S16" s="48" t="s">
        <v>12</v>
      </c>
      <c r="T16" s="42">
        <f>IF(T11&lt;20,EXP(0.0321*T11),IF(T11&gt;45,0.00004*EXP(0.284*T11),IF(T11&gt;35,0.0433*EXP(0.1292*T11),0.5664*EXP(0.06*T11))))</f>
        <v>1.0078517237118074</v>
      </c>
      <c r="V16" s="21"/>
    </row>
    <row r="17" spans="2:22" ht="11.1" customHeight="1">
      <c r="B17" s="46" t="s">
        <v>68</v>
      </c>
      <c r="C17" s="29"/>
      <c r="D17" s="29"/>
      <c r="E17" s="48" t="s">
        <v>61</v>
      </c>
      <c r="F17" s="54"/>
      <c r="G17" s="42" t="s">
        <v>11</v>
      </c>
      <c r="H17" s="48" t="s">
        <v>12</v>
      </c>
      <c r="I17" s="42"/>
      <c r="J17" s="42"/>
      <c r="K17" s="42">
        <f>$M10/$M13</f>
        <v>1548.1285620915355</v>
      </c>
      <c r="L17" s="42"/>
      <c r="M17" s="42"/>
      <c r="N17" s="46" t="s">
        <v>78</v>
      </c>
      <c r="O17" s="29"/>
      <c r="P17" s="29"/>
      <c r="Q17" s="29"/>
      <c r="R17" s="42"/>
      <c r="S17" s="48" t="s">
        <v>12</v>
      </c>
      <c r="T17" s="42">
        <f xml:space="preserve"> 2.0193*T12^-0.3006</f>
        <v>1.183454555103933</v>
      </c>
      <c r="V17" s="21"/>
    </row>
    <row r="18" spans="2:22" ht="11.1" customHeight="1">
      <c r="B18" s="46" t="s">
        <v>13</v>
      </c>
      <c r="C18" s="29"/>
      <c r="D18" s="29"/>
      <c r="E18" s="48" t="s">
        <v>64</v>
      </c>
      <c r="F18" s="54"/>
      <c r="G18" s="42" t="s">
        <v>14</v>
      </c>
      <c r="H18" s="48" t="s">
        <v>12</v>
      </c>
      <c r="I18" s="42"/>
      <c r="J18" s="42"/>
      <c r="K18" s="228">
        <v>30</v>
      </c>
      <c r="L18" s="42"/>
      <c r="M18" s="42"/>
      <c r="N18" s="46" t="s">
        <v>80</v>
      </c>
      <c r="O18" s="29"/>
      <c r="P18" s="29"/>
      <c r="Q18" s="29"/>
      <c r="R18" s="42"/>
      <c r="S18" s="48" t="s">
        <v>12</v>
      </c>
      <c r="T18" s="42">
        <f>(1.65/(T13-T14))^0.5</f>
        <v>0.98518436614377791</v>
      </c>
      <c r="V18" s="21"/>
    </row>
    <row r="19" spans="2:22" ht="11.1" customHeight="1" thickBot="1">
      <c r="B19" s="46" t="s">
        <v>72</v>
      </c>
      <c r="C19" s="29"/>
      <c r="D19" s="29"/>
      <c r="E19" s="48" t="s">
        <v>181</v>
      </c>
      <c r="F19" s="54"/>
      <c r="G19" s="42" t="s">
        <v>15</v>
      </c>
      <c r="H19" s="48" t="s">
        <v>12</v>
      </c>
      <c r="I19" s="42"/>
      <c r="J19" s="42"/>
      <c r="K19" s="228">
        <v>50</v>
      </c>
      <c r="L19" s="42"/>
      <c r="M19" s="42"/>
      <c r="N19" s="46" t="s">
        <v>34</v>
      </c>
      <c r="O19" s="29"/>
      <c r="P19" s="29"/>
      <c r="Q19" s="29"/>
      <c r="R19" s="42"/>
      <c r="S19" s="48" t="s">
        <v>12</v>
      </c>
      <c r="T19" s="42">
        <f>T15*T16*T17*T18</f>
        <v>940.06033176694564</v>
      </c>
      <c r="V19" s="21"/>
    </row>
    <row r="20" spans="2:22" ht="11.1" customHeight="1" thickBot="1">
      <c r="B20" s="46" t="s">
        <v>74</v>
      </c>
      <c r="C20" s="29"/>
      <c r="D20" s="29"/>
      <c r="E20" s="48" t="s">
        <v>75</v>
      </c>
      <c r="F20" s="54"/>
      <c r="G20" s="42" t="s">
        <v>16</v>
      </c>
      <c r="H20" s="48" t="s">
        <v>12</v>
      </c>
      <c r="I20" s="42"/>
      <c r="J20" s="42"/>
      <c r="K20" s="42">
        <f>2*(K19/PI())^0.5</f>
        <v>7.9788456080286538</v>
      </c>
      <c r="L20" s="42"/>
      <c r="M20" s="42"/>
      <c r="N20" s="58" t="str">
        <f t="shared" ref="N20:N33" si="0">B37</f>
        <v>Size</v>
      </c>
      <c r="O20" s="58" t="str">
        <f t="shared" ref="O20:O33" si="1">C37</f>
        <v>%</v>
      </c>
      <c r="P20" s="58" t="str">
        <f t="shared" ref="P20:P33" si="2">D37</f>
        <v>% Cum</v>
      </c>
      <c r="Q20" s="58" t="str">
        <f t="shared" ref="Q20:Q33" si="3">E37</f>
        <v>% Cum</v>
      </c>
      <c r="R20" s="59" t="s">
        <v>167</v>
      </c>
      <c r="S20" s="229" t="s">
        <v>82</v>
      </c>
      <c r="T20" s="229" t="s">
        <v>199</v>
      </c>
      <c r="U20" s="21"/>
    </row>
    <row r="21" spans="2:22" ht="11.1" customHeight="1" thickBot="1">
      <c r="B21" s="46" t="s">
        <v>77</v>
      </c>
      <c r="C21" s="29"/>
      <c r="D21" s="29"/>
      <c r="E21" s="48" t="s">
        <v>75</v>
      </c>
      <c r="F21" s="54"/>
      <c r="G21" s="42" t="s">
        <v>17</v>
      </c>
      <c r="H21" s="48" t="s">
        <v>12</v>
      </c>
      <c r="I21" s="42"/>
      <c r="J21" s="42"/>
      <c r="K21" s="42">
        <f>K22*1.9</f>
        <v>9.7467943448089649</v>
      </c>
      <c r="L21" s="42"/>
      <c r="M21" s="42"/>
      <c r="N21" s="58" t="str">
        <f t="shared" si="0"/>
        <v>microns</v>
      </c>
      <c r="O21" s="61" t="str">
        <f t="shared" si="1"/>
        <v xml:space="preserve"> Retained</v>
      </c>
      <c r="P21" s="61" t="str">
        <f t="shared" si="2"/>
        <v xml:space="preserve"> Pass</v>
      </c>
      <c r="Q21" s="62" t="str">
        <f t="shared" si="3"/>
        <v xml:space="preserve"> Retained</v>
      </c>
      <c r="R21" s="19" t="s">
        <v>36</v>
      </c>
      <c r="S21" s="230" t="s">
        <v>84</v>
      </c>
      <c r="T21" s="230" t="s">
        <v>200</v>
      </c>
      <c r="U21" s="21"/>
    </row>
    <row r="22" spans="2:22" ht="11.1" customHeight="1">
      <c r="B22" s="46" t="s">
        <v>79</v>
      </c>
      <c r="C22" s="29"/>
      <c r="D22" s="29"/>
      <c r="E22" s="48" t="s">
        <v>75</v>
      </c>
      <c r="F22" s="54"/>
      <c r="G22" s="42" t="s">
        <v>18</v>
      </c>
      <c r="H22" s="48" t="s">
        <v>12</v>
      </c>
      <c r="I22" s="42"/>
      <c r="J22" s="42"/>
      <c r="K22" s="42">
        <f>(K19/1.9)^0.5</f>
        <v>5.129891760425771</v>
      </c>
      <c r="L22" s="42"/>
      <c r="M22" s="42"/>
      <c r="N22" s="65">
        <f t="shared" si="0"/>
        <v>4760</v>
      </c>
      <c r="O22" s="66">
        <f t="shared" si="1"/>
        <v>0</v>
      </c>
      <c r="P22" s="64">
        <f t="shared" si="2"/>
        <v>1</v>
      </c>
      <c r="Q22" s="64">
        <f t="shared" si="3"/>
        <v>0</v>
      </c>
      <c r="R22" s="248">
        <f t="shared" ref="R22:R33" si="4">(1-(1/(1+0.12*((K$17*3.785)^0.44)*((K$24/K$28)^4.4))))*(1-0.5*EXP(-($N22/T$19)))+(1/(1+0.12*((K$17*3.785)^0.44)*((K$24/K$28)^4.4)))</f>
        <v>0.99685548571104354</v>
      </c>
      <c r="S22" s="42">
        <f t="shared" ref="S22:S33" si="5">100*R22*$C39</f>
        <v>0</v>
      </c>
      <c r="T22" s="42">
        <f t="shared" ref="T22:T33" si="6">S22*T$38/100</f>
        <v>0</v>
      </c>
      <c r="U22" s="21"/>
    </row>
    <row r="23" spans="2:22" ht="11.1" customHeight="1">
      <c r="B23" s="46" t="s">
        <v>19</v>
      </c>
      <c r="C23" s="29"/>
      <c r="D23" s="29"/>
      <c r="E23" s="48" t="s">
        <v>75</v>
      </c>
      <c r="F23" s="54"/>
      <c r="G23" s="42" t="s">
        <v>20</v>
      </c>
      <c r="H23" s="48" t="s">
        <v>12</v>
      </c>
      <c r="I23" s="42"/>
      <c r="J23" s="42"/>
      <c r="K23" s="42">
        <f>0.25*K22</f>
        <v>1.2824729401064427</v>
      </c>
      <c r="L23" s="42"/>
      <c r="M23" s="42"/>
      <c r="N23" s="65">
        <f t="shared" si="0"/>
        <v>2380</v>
      </c>
      <c r="O23" s="66">
        <f t="shared" si="1"/>
        <v>0</v>
      </c>
      <c r="P23" s="64">
        <f t="shared" si="2"/>
        <v>1</v>
      </c>
      <c r="Q23" s="64">
        <f t="shared" si="3"/>
        <v>0</v>
      </c>
      <c r="R23" s="248">
        <f t="shared" si="4"/>
        <v>0.96045608454768427</v>
      </c>
      <c r="S23" s="42">
        <f t="shared" si="5"/>
        <v>0</v>
      </c>
      <c r="T23" s="42">
        <f t="shared" si="6"/>
        <v>0</v>
      </c>
      <c r="U23" s="21"/>
    </row>
    <row r="24" spans="2:22" ht="11.1" customHeight="1">
      <c r="B24" s="46" t="s">
        <v>81</v>
      </c>
      <c r="C24" s="29"/>
      <c r="D24" s="29"/>
      <c r="E24" s="48" t="s">
        <v>75</v>
      </c>
      <c r="F24" s="54"/>
      <c r="G24" s="42" t="s">
        <v>21</v>
      </c>
      <c r="H24" s="48" t="s">
        <v>12</v>
      </c>
      <c r="I24" s="42"/>
      <c r="J24" s="42"/>
      <c r="K24" s="228">
        <v>10</v>
      </c>
      <c r="L24" s="42"/>
      <c r="M24" s="42"/>
      <c r="N24" s="65">
        <f t="shared" si="0"/>
        <v>1190</v>
      </c>
      <c r="O24" s="66">
        <f t="shared" si="1"/>
        <v>0.4918287937743191</v>
      </c>
      <c r="P24" s="64">
        <f t="shared" si="2"/>
        <v>0.5081712062256809</v>
      </c>
      <c r="Q24" s="64">
        <f t="shared" si="3"/>
        <v>0.4918287937743191</v>
      </c>
      <c r="R24" s="248">
        <f t="shared" si="4"/>
        <v>0.85976942426843528</v>
      </c>
      <c r="S24" s="42">
        <f t="shared" si="5"/>
        <v>42.28593588619853</v>
      </c>
      <c r="T24" s="42">
        <f t="shared" si="6"/>
        <v>47.101912737767059</v>
      </c>
      <c r="U24" s="21"/>
    </row>
    <row r="25" spans="2:22" ht="11.1" customHeight="1">
      <c r="B25" s="46" t="s">
        <v>83</v>
      </c>
      <c r="C25" s="29"/>
      <c r="D25" s="29"/>
      <c r="E25" s="48" t="s">
        <v>75</v>
      </c>
      <c r="F25" s="54"/>
      <c r="G25" s="42" t="s">
        <v>22</v>
      </c>
      <c r="H25" s="48" t="s">
        <v>12</v>
      </c>
      <c r="I25" s="42"/>
      <c r="J25" s="42"/>
      <c r="K25" s="42">
        <f>0.4*K22</f>
        <v>2.0519567041703084</v>
      </c>
      <c r="L25" s="42"/>
      <c r="M25" s="42"/>
      <c r="N25" s="65">
        <f t="shared" si="0"/>
        <v>595</v>
      </c>
      <c r="O25" s="66">
        <f t="shared" si="1"/>
        <v>0.23164721141374839</v>
      </c>
      <c r="P25" s="64">
        <f t="shared" si="2"/>
        <v>0.27652399481193252</v>
      </c>
      <c r="Q25" s="64">
        <f t="shared" si="3"/>
        <v>0.72347600518806754</v>
      </c>
      <c r="R25" s="248">
        <f t="shared" si="4"/>
        <v>0.73592685291459148</v>
      </c>
      <c r="S25" s="42">
        <f t="shared" si="5"/>
        <v>17.047540328216087</v>
      </c>
      <c r="T25" s="42">
        <f t="shared" si="6"/>
        <v>18.9890974411489</v>
      </c>
    </row>
    <row r="26" spans="2:22" ht="11.1" customHeight="1">
      <c r="B26" s="46" t="s">
        <v>85</v>
      </c>
      <c r="C26" s="29"/>
      <c r="D26" s="29"/>
      <c r="E26" s="48" t="s">
        <v>75</v>
      </c>
      <c r="F26" s="54"/>
      <c r="G26" s="42" t="s">
        <v>23</v>
      </c>
      <c r="H26" s="48" t="s">
        <v>12</v>
      </c>
      <c r="I26" s="42"/>
      <c r="J26" s="42"/>
      <c r="K26" s="42">
        <f>0.5*K21</f>
        <v>4.8733971724044824</v>
      </c>
      <c r="L26" s="42"/>
      <c r="M26" s="42"/>
      <c r="N26" s="65">
        <f t="shared" si="0"/>
        <v>297</v>
      </c>
      <c r="O26" s="66">
        <f t="shared" si="1"/>
        <v>0.13808451088811524</v>
      </c>
      <c r="P26" s="64">
        <f t="shared" si="2"/>
        <v>0.13843948392381727</v>
      </c>
      <c r="Q26" s="64">
        <f t="shared" si="3"/>
        <v>0.86156051607618278</v>
      </c>
      <c r="R26" s="248">
        <f t="shared" si="4"/>
        <v>0.63742655246083679</v>
      </c>
      <c r="S26" s="42">
        <f t="shared" si="5"/>
        <v>8.8018733723652183</v>
      </c>
      <c r="T26" s="42">
        <f t="shared" si="6"/>
        <v>9.8043253111334376</v>
      </c>
    </row>
    <row r="27" spans="2:22" ht="11.1" customHeight="1">
      <c r="B27" s="46" t="s">
        <v>86</v>
      </c>
      <c r="C27" s="29"/>
      <c r="D27" s="29"/>
      <c r="E27" s="48" t="s">
        <v>75</v>
      </c>
      <c r="F27" s="54"/>
      <c r="G27" s="42" t="s">
        <v>24</v>
      </c>
      <c r="H27" s="48" t="s">
        <v>12</v>
      </c>
      <c r="I27" s="42"/>
      <c r="J27" s="42"/>
      <c r="K27" s="42">
        <f>K25+K21+K26</f>
        <v>16.672148221383758</v>
      </c>
      <c r="L27" s="42"/>
      <c r="M27" s="42"/>
      <c r="N27" s="65">
        <f t="shared" si="0"/>
        <v>149</v>
      </c>
      <c r="O27" s="66">
        <f t="shared" si="1"/>
        <v>9.6334220765922601E-2</v>
      </c>
      <c r="P27" s="64">
        <f t="shared" si="2"/>
        <v>4.2105263157894673E-2</v>
      </c>
      <c r="Q27" s="64">
        <f t="shared" si="3"/>
        <v>0.95789473684210535</v>
      </c>
      <c r="R27" s="248">
        <f t="shared" si="4"/>
        <v>0.57560536237654436</v>
      </c>
      <c r="S27" s="42">
        <f t="shared" si="5"/>
        <v>5.5450494053230903</v>
      </c>
      <c r="T27" s="42">
        <f t="shared" si="6"/>
        <v>6.1765792276429474</v>
      </c>
    </row>
    <row r="28" spans="2:22" ht="11.1" customHeight="1">
      <c r="B28" s="46" t="s">
        <v>87</v>
      </c>
      <c r="C28" s="29"/>
      <c r="D28" s="29"/>
      <c r="E28" s="48" t="s">
        <v>75</v>
      </c>
      <c r="F28" s="54"/>
      <c r="G28" s="42" t="s">
        <v>15</v>
      </c>
      <c r="H28" s="48" t="s">
        <v>12</v>
      </c>
      <c r="I28" s="42"/>
      <c r="J28" s="42"/>
      <c r="K28" s="228">
        <v>4.5</v>
      </c>
      <c r="L28" s="42"/>
      <c r="M28" s="42"/>
      <c r="N28" s="65">
        <f t="shared" si="0"/>
        <v>74</v>
      </c>
      <c r="O28" s="66">
        <f t="shared" si="1"/>
        <v>3.7736364256945876E-2</v>
      </c>
      <c r="P28" s="64">
        <f t="shared" si="2"/>
        <v>4.3688989009487977E-3</v>
      </c>
      <c r="Q28" s="64">
        <f t="shared" si="3"/>
        <v>0.99563110109905129</v>
      </c>
      <c r="R28" s="248">
        <f t="shared" si="4"/>
        <v>0.54035893800757651</v>
      </c>
      <c r="S28" s="42">
        <f t="shared" si="5"/>
        <v>2.0391181714150339</v>
      </c>
      <c r="T28" s="42">
        <f t="shared" si="6"/>
        <v>2.2713548644274919</v>
      </c>
    </row>
    <row r="29" spans="2:22" ht="11.1" customHeight="1">
      <c r="B29" s="46" t="s">
        <v>88</v>
      </c>
      <c r="C29" s="29"/>
      <c r="D29" s="29"/>
      <c r="E29" s="48" t="s">
        <v>75</v>
      </c>
      <c r="F29" s="54"/>
      <c r="G29" s="42" t="s">
        <v>25</v>
      </c>
      <c r="H29" s="48" t="s">
        <v>12</v>
      </c>
      <c r="I29" s="42"/>
      <c r="J29" s="42"/>
      <c r="K29" s="42">
        <f>((K18/2)-(K28/2))*(1/TAN(K35*PI()/180))</f>
        <v>35.030337098046438</v>
      </c>
      <c r="L29" s="42"/>
      <c r="M29" s="42"/>
      <c r="N29" s="65">
        <f t="shared" si="0"/>
        <v>0</v>
      </c>
      <c r="O29" s="66">
        <f t="shared" si="1"/>
        <v>4.3688989009488706E-3</v>
      </c>
      <c r="P29" s="64">
        <f t="shared" si="2"/>
        <v>-7.2858385991025898E-17</v>
      </c>
      <c r="Q29" s="64">
        <f t="shared" si="3"/>
        <v>1.0000000000000002</v>
      </c>
      <c r="R29" s="248">
        <f t="shared" si="4"/>
        <v>0.50271453534441213</v>
      </c>
      <c r="S29" s="42">
        <f t="shared" si="5"/>
        <v>0.21963089809572245</v>
      </c>
      <c r="T29" s="42">
        <f t="shared" si="6"/>
        <v>0.24464482527862383</v>
      </c>
    </row>
    <row r="30" spans="2:22" ht="11.1" customHeight="1">
      <c r="B30" s="46" t="s">
        <v>89</v>
      </c>
      <c r="C30" s="29"/>
      <c r="D30" s="29"/>
      <c r="E30" s="48" t="s">
        <v>75</v>
      </c>
      <c r="F30" s="54"/>
      <c r="G30" s="42" t="s">
        <v>26</v>
      </c>
      <c r="H30" s="48" t="s">
        <v>12</v>
      </c>
      <c r="I30" s="42"/>
      <c r="J30" s="42"/>
      <c r="K30" s="42">
        <f>K27+K29</f>
        <v>51.702485319430195</v>
      </c>
      <c r="L30" s="42"/>
      <c r="M30" s="42"/>
      <c r="N30" s="67">
        <f t="shared" si="0"/>
        <v>0</v>
      </c>
      <c r="O30" s="66">
        <f t="shared" si="1"/>
        <v>0</v>
      </c>
      <c r="P30" s="64">
        <f t="shared" si="2"/>
        <v>-7.2858385991025898E-17</v>
      </c>
      <c r="Q30" s="64">
        <f t="shared" si="3"/>
        <v>1.0000000000000002</v>
      </c>
      <c r="R30" s="248">
        <f t="shared" si="4"/>
        <v>0.50271453534441213</v>
      </c>
      <c r="S30" s="42">
        <f t="shared" si="5"/>
        <v>0</v>
      </c>
      <c r="T30" s="42">
        <f t="shared" si="6"/>
        <v>0</v>
      </c>
    </row>
    <row r="31" spans="2:22" ht="11.1" customHeight="1">
      <c r="B31" s="46" t="s">
        <v>90</v>
      </c>
      <c r="C31" s="29"/>
      <c r="D31" s="29"/>
      <c r="E31" s="48" t="s">
        <v>91</v>
      </c>
      <c r="F31" s="54"/>
      <c r="G31" s="42" t="s">
        <v>27</v>
      </c>
      <c r="H31" s="48" t="s">
        <v>12</v>
      </c>
      <c r="I31" s="42"/>
      <c r="J31" s="42"/>
      <c r="K31" s="42">
        <f>K17*0.002228/(K19/144)</f>
        <v>9.9337836566590312</v>
      </c>
      <c r="L31" s="42"/>
      <c r="M31" s="42"/>
      <c r="N31" s="67">
        <f t="shared" si="0"/>
        <v>0</v>
      </c>
      <c r="O31" s="66">
        <f t="shared" si="1"/>
        <v>0</v>
      </c>
      <c r="P31" s="64">
        <f t="shared" si="2"/>
        <v>-7.2858385991025898E-17</v>
      </c>
      <c r="Q31" s="64">
        <f t="shared" si="3"/>
        <v>1.0000000000000002</v>
      </c>
      <c r="R31" s="248">
        <f t="shared" si="4"/>
        <v>0.50271453534441213</v>
      </c>
      <c r="S31" s="42">
        <f t="shared" si="5"/>
        <v>0</v>
      </c>
      <c r="T31" s="42">
        <f t="shared" si="6"/>
        <v>0</v>
      </c>
    </row>
    <row r="32" spans="2:22" ht="11.1" customHeight="1">
      <c r="B32" s="46" t="s">
        <v>28</v>
      </c>
      <c r="C32" s="29"/>
      <c r="D32" s="29"/>
      <c r="E32" s="48"/>
      <c r="F32" s="54"/>
      <c r="G32" s="42" t="s">
        <v>29</v>
      </c>
      <c r="H32" s="48" t="s">
        <v>12</v>
      </c>
      <c r="I32" s="42"/>
      <c r="J32" s="42"/>
      <c r="K32" s="42">
        <f>(0.003*($F11)*K31^2)/12</f>
        <v>4.158729460330207</v>
      </c>
      <c r="L32" s="42"/>
      <c r="M32" s="42"/>
      <c r="N32" s="65">
        <f t="shared" si="0"/>
        <v>0</v>
      </c>
      <c r="O32" s="66">
        <f t="shared" si="1"/>
        <v>0</v>
      </c>
      <c r="P32" s="64">
        <f t="shared" si="2"/>
        <v>-7.2858385991025898E-17</v>
      </c>
      <c r="Q32" s="64">
        <f t="shared" si="3"/>
        <v>1.0000000000000002</v>
      </c>
      <c r="R32" s="248">
        <f t="shared" si="4"/>
        <v>0.50271453534441213</v>
      </c>
      <c r="S32" s="42">
        <f t="shared" si="5"/>
        <v>0</v>
      </c>
      <c r="T32" s="42">
        <f t="shared" si="6"/>
        <v>0</v>
      </c>
    </row>
    <row r="33" spans="2:21" ht="11.1" customHeight="1" thickBot="1">
      <c r="B33" s="46" t="s">
        <v>30</v>
      </c>
      <c r="C33" s="29"/>
      <c r="D33" s="29"/>
      <c r="E33" s="48"/>
      <c r="F33" s="54"/>
      <c r="G33" s="42" t="s">
        <v>31</v>
      </c>
      <c r="H33" s="48" t="s">
        <v>12</v>
      </c>
      <c r="I33" s="42"/>
      <c r="J33" s="42"/>
      <c r="K33" s="42">
        <f>11.3*((K19)/((K25+K21))^2)+3.33</f>
        <v>7.3886011342155005</v>
      </c>
      <c r="L33" s="42"/>
      <c r="M33" s="42"/>
      <c r="N33" s="234">
        <f t="shared" si="0"/>
        <v>0</v>
      </c>
      <c r="O33" s="235">
        <f t="shared" si="1"/>
        <v>0</v>
      </c>
      <c r="P33" s="236">
        <f t="shared" si="2"/>
        <v>-7.2858385991025898E-17</v>
      </c>
      <c r="Q33" s="236">
        <f t="shared" si="3"/>
        <v>1.0000000000000002</v>
      </c>
      <c r="R33" s="248">
        <f t="shared" si="4"/>
        <v>0.50271453534441213</v>
      </c>
      <c r="S33" s="42">
        <f t="shared" si="5"/>
        <v>0</v>
      </c>
      <c r="T33" s="42">
        <f t="shared" si="6"/>
        <v>0</v>
      </c>
    </row>
    <row r="34" spans="2:21" ht="11.1" customHeight="1" thickBot="1">
      <c r="B34" s="46" t="s">
        <v>92</v>
      </c>
      <c r="C34" s="29"/>
      <c r="D34" s="29"/>
      <c r="E34" s="48" t="s">
        <v>55</v>
      </c>
      <c r="F34" s="54"/>
      <c r="G34" s="42" t="s">
        <v>32</v>
      </c>
      <c r="H34" s="48" t="s">
        <v>12</v>
      </c>
      <c r="I34" s="42"/>
      <c r="J34" s="42"/>
      <c r="K34" s="42">
        <f>2.31*K32*K33/12</f>
        <v>5.9149846924420535</v>
      </c>
      <c r="L34" s="42"/>
      <c r="M34" s="42"/>
      <c r="N34" s="77" t="s">
        <v>38</v>
      </c>
      <c r="O34" s="78"/>
      <c r="P34" s="78"/>
      <c r="Q34" s="78"/>
      <c r="R34" s="79" t="s">
        <v>36</v>
      </c>
      <c r="S34" s="237">
        <f>SUM(S22:S33)</f>
        <v>75.939148061613679</v>
      </c>
      <c r="T34" s="42">
        <f>SUM(T22:T33)</f>
        <v>84.587914407398458</v>
      </c>
    </row>
    <row r="35" spans="2:21" ht="11.1" customHeight="1" thickBot="1">
      <c r="B35" s="30" t="s">
        <v>93</v>
      </c>
      <c r="C35" s="31"/>
      <c r="D35" s="31"/>
      <c r="E35" s="68" t="s">
        <v>94</v>
      </c>
      <c r="F35" s="69"/>
      <c r="G35" s="70" t="s">
        <v>33</v>
      </c>
      <c r="H35" s="71" t="s">
        <v>12</v>
      </c>
      <c r="I35" s="56"/>
      <c r="J35" s="56"/>
      <c r="K35" s="56">
        <v>20</v>
      </c>
      <c r="L35" s="56"/>
      <c r="M35" s="232"/>
      <c r="N35" s="46" t="s">
        <v>98</v>
      </c>
      <c r="O35" s="29" t="s">
        <v>99</v>
      </c>
      <c r="P35" s="29"/>
      <c r="Q35" s="29"/>
      <c r="R35" s="80" t="s">
        <v>61</v>
      </c>
      <c r="S35" s="48"/>
      <c r="T35" s="42">
        <f>T8</f>
        <v>1548.1285620915355</v>
      </c>
    </row>
    <row r="36" spans="2:21" ht="11.1" customHeight="1" thickBot="1">
      <c r="B36" s="344" t="s">
        <v>95</v>
      </c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6"/>
      <c r="N36" s="46"/>
      <c r="O36" s="29" t="s">
        <v>100</v>
      </c>
      <c r="P36" s="29"/>
      <c r="Q36" s="29"/>
      <c r="R36" s="60"/>
      <c r="S36" s="48"/>
      <c r="T36" s="42">
        <f>($F11*0.01602)/(($F11*0.01602)+T39-($F11*0.01602)*T39)</f>
        <v>1.1812314903909591</v>
      </c>
    </row>
    <row r="37" spans="2:21" ht="11.1" customHeight="1" thickBot="1">
      <c r="B37" s="72" t="s">
        <v>35</v>
      </c>
      <c r="C37" s="73" t="s">
        <v>36</v>
      </c>
      <c r="D37" s="73" t="s">
        <v>96</v>
      </c>
      <c r="E37" s="73" t="s">
        <v>96</v>
      </c>
      <c r="F37" s="223"/>
      <c r="G37" s="223"/>
      <c r="H37" s="223"/>
      <c r="I37" s="249"/>
      <c r="J37" s="250"/>
      <c r="K37" s="58" t="s">
        <v>40</v>
      </c>
      <c r="L37" s="58" t="s">
        <v>84</v>
      </c>
      <c r="M37" s="58" t="s">
        <v>175</v>
      </c>
      <c r="N37" s="46"/>
      <c r="O37" s="29" t="s">
        <v>101</v>
      </c>
      <c r="P37" s="29"/>
      <c r="Q37" s="29"/>
      <c r="R37" s="42" t="s">
        <v>61</v>
      </c>
      <c r="S37" s="48"/>
      <c r="T37" s="42">
        <f>T35-(T38*4/($F11*0.01602))</f>
        <v>1383.141909671243</v>
      </c>
    </row>
    <row r="38" spans="2:21" ht="11.1" customHeight="1">
      <c r="B38" s="72" t="s">
        <v>39</v>
      </c>
      <c r="C38" s="75" t="s">
        <v>37</v>
      </c>
      <c r="D38" s="75" t="s">
        <v>97</v>
      </c>
      <c r="E38" s="64" t="s">
        <v>37</v>
      </c>
      <c r="F38" s="18"/>
      <c r="G38" s="18"/>
      <c r="H38" s="18"/>
      <c r="I38" s="225"/>
      <c r="J38" s="251"/>
      <c r="K38" s="63" t="s">
        <v>174</v>
      </c>
      <c r="L38" s="63" t="s">
        <v>174</v>
      </c>
      <c r="M38" s="63" t="s">
        <v>174</v>
      </c>
      <c r="N38" s="46"/>
      <c r="O38" s="29" t="s">
        <v>102</v>
      </c>
      <c r="P38" s="29"/>
      <c r="Q38" s="29"/>
      <c r="R38" s="42" t="s">
        <v>103</v>
      </c>
      <c r="S38" s="48"/>
      <c r="T38" s="49">
        <f>$F12/T10</f>
        <v>111.3890747612385</v>
      </c>
    </row>
    <row r="39" spans="2:21" ht="11.1" customHeight="1">
      <c r="B39" s="23">
        <f>'Flowsheet Balance'!B42</f>
        <v>4760</v>
      </c>
      <c r="C39" s="64">
        <f>K39/K$51</f>
        <v>0</v>
      </c>
      <c r="D39" s="64">
        <f>1-C39</f>
        <v>1</v>
      </c>
      <c r="E39" s="64">
        <f>C39</f>
        <v>0</v>
      </c>
      <c r="F39" s="18"/>
      <c r="G39" s="18"/>
      <c r="H39" s="18"/>
      <c r="I39" s="252"/>
      <c r="J39" s="258"/>
      <c r="K39" s="23">
        <f>'Flowsheet Balance'!K42</f>
        <v>0</v>
      </c>
      <c r="L39" s="63">
        <f t="shared" ref="L39:L50" si="7">S22*K$51/100</f>
        <v>0</v>
      </c>
      <c r="M39" s="63">
        <f>K39-L39</f>
        <v>0</v>
      </c>
      <c r="N39" s="46"/>
      <c r="O39" s="29" t="s">
        <v>104</v>
      </c>
      <c r="P39" s="29"/>
      <c r="Q39" s="29"/>
      <c r="R39" s="60"/>
      <c r="S39" s="48"/>
      <c r="T39" s="81">
        <f>F13</f>
        <v>0.24364670830937624</v>
      </c>
    </row>
    <row r="40" spans="2:21" ht="11.1" customHeight="1" thickBot="1">
      <c r="B40" s="23">
        <f>'Flowsheet Balance'!B43</f>
        <v>2380</v>
      </c>
      <c r="C40" s="64">
        <f t="shared" ref="C40:C50" si="8">K40/K$51</f>
        <v>0</v>
      </c>
      <c r="D40" s="64">
        <f>D39-C40</f>
        <v>1</v>
      </c>
      <c r="E40" s="64">
        <f>E39+C40</f>
        <v>0</v>
      </c>
      <c r="F40" s="18"/>
      <c r="G40" s="18"/>
      <c r="H40" s="18"/>
      <c r="I40" s="252"/>
      <c r="J40" s="253"/>
      <c r="K40" s="23">
        <f>'Flowsheet Balance'!K43</f>
        <v>0</v>
      </c>
      <c r="L40" s="63">
        <f t="shared" si="7"/>
        <v>0</v>
      </c>
      <c r="M40" s="63">
        <f t="shared" ref="M40:M50" si="9">K40-L40</f>
        <v>0</v>
      </c>
      <c r="N40" s="57"/>
      <c r="O40" s="18" t="s">
        <v>105</v>
      </c>
      <c r="P40" s="18"/>
      <c r="Q40" s="18"/>
      <c r="R40" s="82"/>
      <c r="S40" s="20"/>
      <c r="T40" s="238">
        <f>(T36-1)/($F11*0.01602-1)</f>
        <v>0.10657167399417661</v>
      </c>
    </row>
    <row r="41" spans="2:21" ht="11.1" customHeight="1">
      <c r="B41" s="23">
        <f>'Flowsheet Balance'!B44</f>
        <v>1190</v>
      </c>
      <c r="C41" s="64">
        <f t="shared" si="8"/>
        <v>0.4918287937743191</v>
      </c>
      <c r="D41" s="64">
        <f t="shared" ref="D41:D50" si="10">D40-C41</f>
        <v>0.5081712062256809</v>
      </c>
      <c r="E41" s="64">
        <f t="shared" ref="E41:E50" si="11">E40+C41</f>
        <v>0.4918287937743191</v>
      </c>
      <c r="F41" s="18"/>
      <c r="G41" s="18"/>
      <c r="H41" s="18"/>
      <c r="I41" s="252"/>
      <c r="J41" s="253"/>
      <c r="K41" s="23">
        <f>'Flowsheet Balance'!K44</f>
        <v>109.56870855891476</v>
      </c>
      <c r="L41" s="63">
        <f t="shared" si="7"/>
        <v>94.203825475534117</v>
      </c>
      <c r="M41" s="63">
        <f t="shared" si="9"/>
        <v>15.364883083380647</v>
      </c>
      <c r="N41" s="28" t="s">
        <v>106</v>
      </c>
      <c r="O41" s="83" t="s">
        <v>99</v>
      </c>
      <c r="P41" s="83"/>
      <c r="Q41" s="83"/>
      <c r="R41" s="52" t="s">
        <v>61</v>
      </c>
      <c r="S41" s="126"/>
      <c r="T41" s="42">
        <f>T35-T47</f>
        <v>1227.6743345008867</v>
      </c>
    </row>
    <row r="42" spans="2:21" ht="11.1" customHeight="1">
      <c r="B42" s="23">
        <f>'Flowsheet Balance'!B45</f>
        <v>595</v>
      </c>
      <c r="C42" s="64">
        <f t="shared" si="8"/>
        <v>0.23164721141374839</v>
      </c>
      <c r="D42" s="64">
        <f t="shared" si="10"/>
        <v>0.27652399481193252</v>
      </c>
      <c r="E42" s="64">
        <f t="shared" si="11"/>
        <v>0.72347600518806754</v>
      </c>
      <c r="F42" s="18"/>
      <c r="G42" s="18"/>
      <c r="H42" s="18"/>
      <c r="I42" s="252"/>
      <c r="J42" s="253"/>
      <c r="K42" s="23">
        <f>'Flowsheet Balance'!K45</f>
        <v>51.605937100796879</v>
      </c>
      <c r="L42" s="63">
        <f t="shared" si="7"/>
        <v>37.978194882297799</v>
      </c>
      <c r="M42" s="63">
        <f t="shared" si="9"/>
        <v>13.62774221849908</v>
      </c>
      <c r="N42" s="46"/>
      <c r="O42" s="29" t="s">
        <v>100</v>
      </c>
      <c r="P42" s="29"/>
      <c r="Q42" s="29"/>
      <c r="R42" s="60"/>
      <c r="S42" s="48"/>
      <c r="T42" s="42">
        <f>($F11*0.01602)/(($F11*0.01602)+T45-($F11*0.01602)*T45)</f>
        <v>1.0035441944963404</v>
      </c>
    </row>
    <row r="43" spans="2:21" ht="11.1" customHeight="1">
      <c r="B43" s="23">
        <f>'Flowsheet Balance'!B46</f>
        <v>297</v>
      </c>
      <c r="C43" s="64">
        <f t="shared" si="8"/>
        <v>0.13808451088811524</v>
      </c>
      <c r="D43" s="64">
        <f t="shared" si="10"/>
        <v>0.13843948392381727</v>
      </c>
      <c r="E43" s="64">
        <f t="shared" si="11"/>
        <v>0.86156051607618278</v>
      </c>
      <c r="F43" s="18"/>
      <c r="G43" s="18"/>
      <c r="H43" s="18"/>
      <c r="I43" s="252"/>
      <c r="J43" s="253"/>
      <c r="K43" s="23">
        <f>'Flowsheet Balance'!K46</f>
        <v>30.762211813370644</v>
      </c>
      <c r="L43" s="63">
        <f t="shared" si="7"/>
        <v>19.608650622266875</v>
      </c>
      <c r="M43" s="63">
        <f t="shared" si="9"/>
        <v>11.153561191103769</v>
      </c>
      <c r="N43" s="46"/>
      <c r="O43" s="29" t="s">
        <v>101</v>
      </c>
      <c r="P43" s="29"/>
      <c r="Q43" s="29"/>
      <c r="R43" s="42" t="s">
        <v>61</v>
      </c>
      <c r="S43" s="48"/>
      <c r="T43" s="42">
        <f t="shared" ref="T43:T44" si="12">T37-T49</f>
        <v>1187.9771403439399</v>
      </c>
    </row>
    <row r="44" spans="2:21" ht="11.1" customHeight="1">
      <c r="B44" s="23">
        <f>'Flowsheet Balance'!B47</f>
        <v>149</v>
      </c>
      <c r="C44" s="64">
        <f t="shared" si="8"/>
        <v>9.6334220765922601E-2</v>
      </c>
      <c r="D44" s="64">
        <f t="shared" si="10"/>
        <v>4.2105263157894673E-2</v>
      </c>
      <c r="E44" s="64">
        <f t="shared" si="11"/>
        <v>0.95789473684210535</v>
      </c>
      <c r="F44" s="18"/>
      <c r="G44" s="18"/>
      <c r="H44" s="18"/>
      <c r="I44" s="252"/>
      <c r="J44" s="253"/>
      <c r="K44" s="23">
        <f>'Flowsheet Balance'!K47</f>
        <v>21.461159437922014</v>
      </c>
      <c r="L44" s="63">
        <f t="shared" si="7"/>
        <v>12.353158455285895</v>
      </c>
      <c r="M44" s="63">
        <f t="shared" si="9"/>
        <v>9.1080009826361188</v>
      </c>
      <c r="N44" s="46"/>
      <c r="O44" s="29" t="s">
        <v>102</v>
      </c>
      <c r="P44" s="29"/>
      <c r="Q44" s="29"/>
      <c r="R44" s="42" t="s">
        <v>103</v>
      </c>
      <c r="S44" s="48"/>
      <c r="T44" s="49">
        <f t="shared" si="12"/>
        <v>26.801160353840046</v>
      </c>
    </row>
    <row r="45" spans="2:21" ht="11.1" customHeight="1">
      <c r="B45" s="23">
        <f>'Flowsheet Balance'!B48</f>
        <v>74</v>
      </c>
      <c r="C45" s="64">
        <f t="shared" si="8"/>
        <v>3.7736364256945876E-2</v>
      </c>
      <c r="D45" s="64">
        <f t="shared" si="10"/>
        <v>4.3688989009487977E-3</v>
      </c>
      <c r="E45" s="64">
        <f t="shared" si="11"/>
        <v>0.99563110109905129</v>
      </c>
      <c r="F45" s="18"/>
      <c r="G45" s="18"/>
      <c r="H45" s="18"/>
      <c r="I45" s="252"/>
      <c r="J45" s="253"/>
      <c r="K45" s="23">
        <f>'Flowsheet Balance'!K48</f>
        <v>8.4068373988685448</v>
      </c>
      <c r="L45" s="63">
        <f t="shared" si="7"/>
        <v>4.5427097288549838</v>
      </c>
      <c r="M45" s="63">
        <f t="shared" si="9"/>
        <v>3.8641276700135609</v>
      </c>
      <c r="N45" s="46"/>
      <c r="O45" s="29" t="s">
        <v>104</v>
      </c>
      <c r="P45" s="29"/>
      <c r="Q45" s="29"/>
      <c r="R45" s="60"/>
      <c r="S45" s="48"/>
      <c r="T45" s="81">
        <f>T44/(T44+4*T43)</f>
        <v>5.6084512168568532E-3</v>
      </c>
    </row>
    <row r="46" spans="2:21" ht="11.1" customHeight="1" thickBot="1">
      <c r="B46" s="23">
        <f>'Flowsheet Balance'!B49</f>
        <v>0</v>
      </c>
      <c r="C46" s="64">
        <f t="shared" si="8"/>
        <v>4.3688989009488706E-3</v>
      </c>
      <c r="D46" s="64">
        <f t="shared" si="10"/>
        <v>-7.2858385991025898E-17</v>
      </c>
      <c r="E46" s="64">
        <f t="shared" si="11"/>
        <v>1.0000000000000002</v>
      </c>
      <c r="F46" s="18"/>
      <c r="G46" s="18"/>
      <c r="H46" s="18"/>
      <c r="I46" s="252"/>
      <c r="J46" s="253"/>
      <c r="K46" s="23">
        <f>'Flowsheet Balance'!K49</f>
        <v>0.97329521260417295</v>
      </c>
      <c r="L46" s="63">
        <f t="shared" si="7"/>
        <v>0.48928965055724766</v>
      </c>
      <c r="M46" s="63">
        <f t="shared" si="9"/>
        <v>0.4840055620469253</v>
      </c>
      <c r="N46" s="57"/>
      <c r="O46" s="18" t="s">
        <v>105</v>
      </c>
      <c r="P46" s="18"/>
      <c r="Q46" s="18"/>
      <c r="R46" s="82"/>
      <c r="S46" s="20"/>
      <c r="T46" s="238">
        <f>(T42-1)/($F11*0.01602-1)</f>
        <v>2.0841341624522778E-3</v>
      </c>
      <c r="U46" s="21"/>
    </row>
    <row r="47" spans="2:21" ht="11.1" customHeight="1">
      <c r="B47" s="25"/>
      <c r="C47" s="64">
        <f t="shared" si="8"/>
        <v>0</v>
      </c>
      <c r="D47" s="64">
        <f t="shared" si="10"/>
        <v>-7.2858385991025898E-17</v>
      </c>
      <c r="E47" s="64">
        <f t="shared" si="11"/>
        <v>1.0000000000000002</v>
      </c>
      <c r="F47" s="18"/>
      <c r="G47" s="18"/>
      <c r="H47" s="18"/>
      <c r="I47" s="252"/>
      <c r="J47" s="253"/>
      <c r="K47" s="23">
        <f>'Flowsheet Balance'!K50</f>
        <v>0</v>
      </c>
      <c r="L47" s="63">
        <f t="shared" si="7"/>
        <v>0</v>
      </c>
      <c r="M47" s="63">
        <f t="shared" si="9"/>
        <v>0</v>
      </c>
      <c r="N47" s="28" t="s">
        <v>108</v>
      </c>
      <c r="O47" s="83" t="s">
        <v>99</v>
      </c>
      <c r="P47" s="83"/>
      <c r="Q47" s="83"/>
      <c r="R47" s="52" t="s">
        <v>61</v>
      </c>
      <c r="S47" s="125"/>
      <c r="T47" s="42">
        <f xml:space="preserve"> 14.351*K28^2.065</f>
        <v>320.45422759064883</v>
      </c>
      <c r="U47" s="21"/>
    </row>
    <row r="48" spans="2:21" ht="11.1" customHeight="1">
      <c r="B48" s="25"/>
      <c r="C48" s="64">
        <f t="shared" si="8"/>
        <v>0</v>
      </c>
      <c r="D48" s="64">
        <f t="shared" si="10"/>
        <v>-7.2858385991025898E-17</v>
      </c>
      <c r="E48" s="64">
        <f t="shared" si="11"/>
        <v>1.0000000000000002</v>
      </c>
      <c r="F48" s="18"/>
      <c r="G48" s="18"/>
      <c r="H48" s="18"/>
      <c r="I48" s="252"/>
      <c r="J48" s="253"/>
      <c r="K48" s="23">
        <f>'Flowsheet Balance'!K51</f>
        <v>0</v>
      </c>
      <c r="L48" s="63">
        <f t="shared" si="7"/>
        <v>0</v>
      </c>
      <c r="M48" s="63">
        <f t="shared" si="9"/>
        <v>0</v>
      </c>
      <c r="N48" s="46"/>
      <c r="O48" s="29" t="s">
        <v>100</v>
      </c>
      <c r="P48" s="29"/>
      <c r="Q48" s="29"/>
      <c r="R48" s="60"/>
      <c r="S48" s="48"/>
      <c r="T48" s="42">
        <f>($F11*0.01602)/(($F11*0.01602)+T51-($F11*0.01602)*T51)</f>
        <v>1.6648756078775018</v>
      </c>
      <c r="U48" s="21"/>
    </row>
    <row r="49" spans="2:21" ht="11.1" customHeight="1">
      <c r="B49" s="23"/>
      <c r="C49" s="64">
        <f t="shared" si="8"/>
        <v>0</v>
      </c>
      <c r="D49" s="64">
        <f t="shared" si="10"/>
        <v>-7.2858385991025898E-17</v>
      </c>
      <c r="E49" s="64">
        <f t="shared" si="11"/>
        <v>1.0000000000000002</v>
      </c>
      <c r="F49" s="18"/>
      <c r="G49" s="18"/>
      <c r="H49" s="18"/>
      <c r="I49" s="252"/>
      <c r="J49" s="253"/>
      <c r="K49" s="23">
        <f>'Flowsheet Balance'!K52</f>
        <v>0</v>
      </c>
      <c r="L49" s="63">
        <f t="shared" si="7"/>
        <v>0</v>
      </c>
      <c r="M49" s="63">
        <f t="shared" si="9"/>
        <v>0</v>
      </c>
      <c r="N49" s="46"/>
      <c r="O49" s="29" t="s">
        <v>101</v>
      </c>
      <c r="P49" s="29"/>
      <c r="Q49" s="29"/>
      <c r="R49" s="42" t="s">
        <v>61</v>
      </c>
      <c r="S49" s="48"/>
      <c r="T49" s="42">
        <f>T47-(T50*4/($F11*0.01602))</f>
        <v>195.16476932730296</v>
      </c>
      <c r="U49" s="21"/>
    </row>
    <row r="50" spans="2:21" ht="11.1" customHeight="1" thickBot="1">
      <c r="B50" s="25"/>
      <c r="C50" s="64">
        <f t="shared" si="8"/>
        <v>0</v>
      </c>
      <c r="D50" s="64">
        <f t="shared" si="10"/>
        <v>-7.2858385991025898E-17</v>
      </c>
      <c r="E50" s="64">
        <f t="shared" si="11"/>
        <v>1.0000000000000002</v>
      </c>
      <c r="F50" s="18"/>
      <c r="G50" s="18"/>
      <c r="H50" s="18"/>
      <c r="I50" s="252"/>
      <c r="J50" s="253"/>
      <c r="K50" s="23">
        <v>0</v>
      </c>
      <c r="L50" s="63">
        <f t="shared" si="7"/>
        <v>0</v>
      </c>
      <c r="M50" s="63">
        <f t="shared" si="9"/>
        <v>0</v>
      </c>
      <c r="N50" s="46"/>
      <c r="O50" s="29" t="s">
        <v>102</v>
      </c>
      <c r="P50" s="29"/>
      <c r="Q50" s="29"/>
      <c r="R50" s="42" t="s">
        <v>103</v>
      </c>
      <c r="S50" s="48"/>
      <c r="T50" s="49">
        <f>T34</f>
        <v>84.587914407398458</v>
      </c>
      <c r="U50" s="21"/>
    </row>
    <row r="51" spans="2:21" ht="11.1" customHeight="1">
      <c r="B51" s="84"/>
      <c r="C51" s="85"/>
      <c r="D51" s="86"/>
      <c r="E51" s="86"/>
      <c r="F51" s="18"/>
      <c r="G51" s="18"/>
      <c r="H51" s="18"/>
      <c r="I51" s="254"/>
      <c r="J51" s="255"/>
      <c r="K51" s="63">
        <f>SUM(K39:K50)</f>
        <v>222.77814952247701</v>
      </c>
      <c r="L51" s="63">
        <f>SUM(L39:L50)</f>
        <v>169.17582881479692</v>
      </c>
      <c r="M51" s="63">
        <f>SUM(M39:M50)</f>
        <v>53.6023207076801</v>
      </c>
      <c r="N51" s="46"/>
      <c r="O51" s="29" t="s">
        <v>104</v>
      </c>
      <c r="P51" s="29"/>
      <c r="Q51" s="29"/>
      <c r="R51" s="42"/>
      <c r="S51" s="48"/>
      <c r="T51" s="81">
        <f>T50/(T50+T49/4)</f>
        <v>0.634191639720457</v>
      </c>
      <c r="U51" s="21"/>
    </row>
    <row r="52" spans="2:21" ht="11.1" customHeight="1">
      <c r="B52" s="87"/>
      <c r="C52" s="88"/>
      <c r="D52" s="89"/>
      <c r="E52" s="89"/>
      <c r="F52" s="18"/>
      <c r="G52" s="18"/>
      <c r="H52" s="18"/>
      <c r="I52" s="18"/>
      <c r="J52" s="18"/>
      <c r="K52" s="18"/>
      <c r="L52" s="18"/>
      <c r="M52" s="76"/>
      <c r="N52" s="46"/>
      <c r="O52" s="29" t="s">
        <v>105</v>
      </c>
      <c r="P52" s="29"/>
      <c r="Q52" s="29"/>
      <c r="R52" s="42"/>
      <c r="S52" s="48"/>
      <c r="T52" s="81">
        <f>(T48-1)/($F11*0.01602-1)</f>
        <v>0.39097458381292371</v>
      </c>
      <c r="U52" s="21"/>
    </row>
    <row r="53" spans="2:21" ht="11.1" customHeight="1" thickBot="1">
      <c r="B53" s="90"/>
      <c r="C53" s="91"/>
      <c r="D53" s="92"/>
      <c r="E53" s="92"/>
      <c r="F53" s="92"/>
      <c r="G53" s="92"/>
      <c r="H53" s="93"/>
      <c r="I53" s="93"/>
      <c r="J53" s="93"/>
      <c r="K53" s="93"/>
      <c r="L53" s="93"/>
      <c r="M53" s="94"/>
      <c r="N53" s="33"/>
      <c r="O53" s="34"/>
      <c r="P53" s="34"/>
      <c r="Q53" s="34"/>
      <c r="R53" s="70"/>
      <c r="S53" s="71"/>
      <c r="T53" s="239"/>
      <c r="U53" s="21"/>
    </row>
    <row r="54" spans="2:21" ht="11.1" customHeight="1">
      <c r="B54" s="22"/>
      <c r="C54" s="22"/>
      <c r="D54" s="22"/>
      <c r="E54" s="22"/>
      <c r="F54" s="22"/>
      <c r="G54" s="22"/>
      <c r="H54" s="22"/>
      <c r="I54" s="95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1"/>
    </row>
    <row r="55" spans="2:21" ht="11.1" customHeight="1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O55" s="21"/>
      <c r="R55" s="21"/>
      <c r="S55" s="21"/>
      <c r="T55" s="22"/>
    </row>
    <row r="56" spans="2:21" ht="11.1" customHeight="1">
      <c r="O56" s="22"/>
      <c r="R56" s="22"/>
      <c r="S56" s="22"/>
      <c r="T56" s="22"/>
    </row>
    <row r="57" spans="2:21" ht="11.1" customHeight="1">
      <c r="N57" s="21"/>
      <c r="O57" s="21"/>
      <c r="P57" s="21"/>
      <c r="Q57" s="240"/>
      <c r="R57" s="21"/>
      <c r="S57" s="22"/>
      <c r="T57" s="22"/>
    </row>
    <row r="58" spans="2:21" ht="11.1" customHeight="1">
      <c r="N58" s="21"/>
      <c r="O58" s="21"/>
      <c r="P58" s="21"/>
      <c r="Q58" s="240"/>
      <c r="R58" s="21"/>
      <c r="S58" s="22"/>
      <c r="T58" s="22"/>
    </row>
    <row r="59" spans="2:21" ht="11.1" customHeight="1">
      <c r="N59" s="21"/>
      <c r="O59" s="21"/>
      <c r="P59" s="21"/>
      <c r="Q59" s="240"/>
      <c r="R59" s="21"/>
      <c r="S59" s="22"/>
      <c r="T59" s="22"/>
    </row>
    <row r="60" spans="2:21" ht="11.1" customHeight="1">
      <c r="N60" s="21"/>
      <c r="O60" s="21"/>
      <c r="P60" s="21"/>
      <c r="Q60" s="240"/>
      <c r="R60" s="21"/>
      <c r="S60" s="22"/>
      <c r="T60" s="22"/>
    </row>
    <row r="61" spans="2:21" ht="11.1" customHeight="1">
      <c r="N61" s="21"/>
      <c r="O61" s="21"/>
      <c r="P61" s="21"/>
      <c r="Q61" s="240"/>
      <c r="R61" s="21"/>
      <c r="S61" s="22"/>
      <c r="T61" s="22"/>
    </row>
    <row r="62" spans="2:21" ht="11.1" customHeight="1">
      <c r="N62" s="21"/>
      <c r="O62" s="21"/>
      <c r="P62" s="21"/>
      <c r="Q62" s="240"/>
      <c r="R62" s="21"/>
      <c r="S62" s="22"/>
      <c r="T62" s="22"/>
    </row>
    <row r="63" spans="2:21" ht="11.1" customHeight="1">
      <c r="N63" s="21"/>
      <c r="O63" s="21"/>
      <c r="P63" s="21"/>
      <c r="Q63" s="21"/>
      <c r="R63" s="21"/>
      <c r="S63" s="21"/>
      <c r="T63" s="21"/>
    </row>
    <row r="64" spans="2:21" ht="11.1" customHeight="1">
      <c r="N64" s="21"/>
      <c r="O64" s="21"/>
      <c r="P64" s="21"/>
      <c r="Q64" s="21"/>
      <c r="R64" s="21"/>
      <c r="S64" s="21"/>
      <c r="T64" s="21"/>
    </row>
    <row r="65" spans="14:20" ht="11.1" customHeight="1">
      <c r="N65" s="22"/>
      <c r="O65" s="22"/>
      <c r="P65" s="22"/>
      <c r="Q65" s="22"/>
      <c r="R65" s="22"/>
      <c r="S65" s="22"/>
      <c r="T65" s="22"/>
    </row>
    <row r="66" spans="14:20" ht="11.1" customHeight="1">
      <c r="N66" s="22"/>
      <c r="O66" s="22"/>
      <c r="P66" s="22"/>
      <c r="Q66" s="22"/>
      <c r="R66" s="22"/>
      <c r="S66" s="22"/>
      <c r="T66" s="22"/>
    </row>
    <row r="67" spans="14:20" ht="11.1" customHeight="1">
      <c r="N67" s="22"/>
      <c r="O67" s="22"/>
      <c r="P67" s="22"/>
      <c r="Q67" s="22"/>
      <c r="R67" s="22"/>
      <c r="S67" s="22"/>
      <c r="T67" s="22"/>
    </row>
    <row r="68" spans="14:20" ht="11.1" customHeight="1">
      <c r="N68" s="22"/>
      <c r="O68" s="22"/>
      <c r="P68" s="22"/>
      <c r="Q68" s="22"/>
      <c r="R68" s="22"/>
      <c r="S68" s="22"/>
      <c r="T68" s="22"/>
    </row>
    <row r="69" spans="14:20" ht="11.1" customHeight="1">
      <c r="N69" s="22"/>
      <c r="O69" s="22"/>
      <c r="P69" s="22"/>
      <c r="Q69" s="22"/>
      <c r="R69" s="22"/>
      <c r="S69" s="22"/>
      <c r="T69" s="22"/>
    </row>
    <row r="70" spans="14:20" ht="11.1" customHeight="1">
      <c r="N70" s="22"/>
      <c r="O70" s="22"/>
      <c r="P70" s="22"/>
      <c r="Q70" s="22"/>
      <c r="R70" s="22"/>
      <c r="S70" s="22"/>
      <c r="T70" s="22"/>
    </row>
    <row r="71" spans="14:20" ht="11.1" customHeight="1">
      <c r="N71" s="22"/>
      <c r="O71" s="22"/>
      <c r="P71" s="22"/>
      <c r="Q71" s="22"/>
      <c r="R71" s="22"/>
      <c r="S71" s="22"/>
      <c r="T71" s="22"/>
    </row>
    <row r="72" spans="14:20" ht="11.1" customHeight="1">
      <c r="N72" s="22"/>
      <c r="O72" s="22"/>
      <c r="P72" s="22"/>
      <c r="Q72" s="22"/>
      <c r="R72" s="22"/>
      <c r="S72" s="22"/>
      <c r="T72" s="22"/>
    </row>
    <row r="73" spans="14:20" ht="11.1" customHeight="1">
      <c r="N73" s="231"/>
      <c r="O73" s="233"/>
      <c r="P73" s="21"/>
      <c r="Q73" s="21"/>
      <c r="R73" s="21"/>
      <c r="S73" s="21"/>
      <c r="T73" s="21"/>
    </row>
    <row r="74" spans="14:20" ht="11.1" customHeight="1">
      <c r="N74" s="231"/>
      <c r="O74" s="233"/>
      <c r="P74" s="21"/>
      <c r="Q74" s="21"/>
      <c r="R74" s="21"/>
      <c r="S74" s="21"/>
      <c r="T74" s="21"/>
    </row>
    <row r="75" spans="14:20" ht="11.1" customHeight="1">
      <c r="N75" s="231"/>
      <c r="O75" s="233"/>
      <c r="P75" s="21"/>
      <c r="Q75" s="21"/>
      <c r="R75" s="21"/>
      <c r="S75" s="21"/>
      <c r="T75" s="21"/>
    </row>
    <row r="76" spans="14:20" ht="11.1" customHeight="1">
      <c r="N76" s="231"/>
      <c r="O76" s="233"/>
      <c r="P76" s="21"/>
      <c r="Q76" s="21"/>
      <c r="R76" s="21"/>
      <c r="S76" s="21"/>
      <c r="T76" s="21"/>
    </row>
    <row r="77" spans="14:20" ht="11.1" customHeight="1">
      <c r="N77" s="21"/>
      <c r="O77" s="21"/>
      <c r="P77" s="21"/>
      <c r="Q77" s="21"/>
      <c r="R77" s="21"/>
      <c r="S77" s="21"/>
      <c r="T77" s="21"/>
    </row>
    <row r="78" spans="14:20" ht="11.1" customHeight="1">
      <c r="N78" s="21"/>
      <c r="O78" s="233"/>
      <c r="P78" s="21"/>
      <c r="Q78" s="21"/>
      <c r="R78" s="21"/>
      <c r="S78" s="21"/>
      <c r="T78" s="21"/>
    </row>
    <row r="79" spans="14:20" ht="11.1" customHeight="1">
      <c r="N79" s="21"/>
      <c r="O79" s="233"/>
      <c r="P79" s="21"/>
      <c r="Q79" s="21"/>
      <c r="R79" s="21"/>
      <c r="S79" s="21"/>
      <c r="T79" s="21"/>
    </row>
    <row r="80" spans="14:20" ht="11.1" customHeight="1">
      <c r="N80" s="21"/>
      <c r="O80" s="233"/>
      <c r="P80" s="21"/>
      <c r="Q80" s="21"/>
      <c r="R80" s="21"/>
      <c r="S80" s="21"/>
      <c r="T80" s="21"/>
    </row>
    <row r="81" spans="14:20" ht="11.1" customHeight="1">
      <c r="N81" s="21"/>
      <c r="O81" s="233"/>
      <c r="P81" s="21"/>
      <c r="Q81" s="21"/>
      <c r="R81" s="21"/>
      <c r="S81" s="21"/>
      <c r="T81" s="21"/>
    </row>
    <row r="82" spans="14:20" ht="11.1" customHeight="1">
      <c r="N82" s="21"/>
      <c r="O82" s="233"/>
      <c r="P82" s="21"/>
      <c r="Q82" s="21"/>
      <c r="R82" s="21"/>
      <c r="S82" s="21"/>
      <c r="T82" s="21"/>
    </row>
    <row r="83" spans="14:20" ht="11.1" customHeight="1">
      <c r="N83" s="21"/>
      <c r="O83" s="233"/>
      <c r="P83" s="21"/>
      <c r="Q83" s="21"/>
      <c r="R83" s="21"/>
      <c r="S83" s="21"/>
      <c r="T83" s="21"/>
    </row>
    <row r="84" spans="14:20" ht="11.1" customHeight="1">
      <c r="N84" s="21"/>
      <c r="O84" s="233"/>
      <c r="P84" s="21"/>
      <c r="Q84" s="21"/>
      <c r="R84" s="21"/>
      <c r="S84" s="21"/>
      <c r="T84" s="21"/>
    </row>
    <row r="85" spans="14:20" ht="11.1" customHeight="1">
      <c r="N85" s="21"/>
      <c r="O85" s="233"/>
      <c r="P85" s="21"/>
      <c r="Q85" s="21"/>
      <c r="R85" s="21"/>
      <c r="S85" s="21"/>
      <c r="T85" s="21"/>
    </row>
    <row r="86" spans="14:20" ht="11.1" customHeight="1">
      <c r="N86" s="21"/>
      <c r="O86" s="233"/>
      <c r="P86" s="21"/>
      <c r="Q86" s="21"/>
      <c r="R86" s="21"/>
      <c r="S86" s="21"/>
      <c r="T86" s="21"/>
    </row>
    <row r="87" spans="14:20" ht="11.1" customHeight="1">
      <c r="N87" s="21"/>
      <c r="O87" s="233"/>
      <c r="P87" s="21"/>
      <c r="Q87" s="21"/>
      <c r="R87" s="21"/>
      <c r="S87" s="21"/>
      <c r="T87" s="21"/>
    </row>
    <row r="88" spans="14:20" ht="11.1" customHeight="1">
      <c r="N88" s="21"/>
      <c r="O88" s="233"/>
      <c r="P88" s="21"/>
      <c r="Q88" s="21"/>
      <c r="R88" s="21"/>
      <c r="S88" s="21"/>
      <c r="T88" s="21"/>
    </row>
    <row r="89" spans="14:20" ht="11.1" customHeight="1">
      <c r="N89" s="21"/>
      <c r="O89" s="233"/>
      <c r="P89" s="21"/>
      <c r="Q89" s="21"/>
      <c r="R89" s="21"/>
      <c r="S89" s="21"/>
      <c r="T89" s="21"/>
    </row>
    <row r="90" spans="14:20" ht="11.1" customHeight="1">
      <c r="N90" s="21"/>
      <c r="O90" s="21"/>
      <c r="P90" s="21"/>
      <c r="Q90" s="21"/>
      <c r="R90" s="21"/>
      <c r="S90" s="21"/>
      <c r="T90" s="21"/>
    </row>
    <row r="91" spans="14:20" ht="11.1" customHeight="1">
      <c r="N91" s="21"/>
      <c r="O91" s="241"/>
      <c r="P91" s="21"/>
      <c r="Q91" s="21"/>
      <c r="R91" s="21"/>
      <c r="S91" s="21"/>
      <c r="T91" s="21"/>
    </row>
    <row r="92" spans="14:20" ht="11.1" customHeight="1">
      <c r="N92" s="21"/>
      <c r="O92" s="21"/>
      <c r="P92" s="21"/>
      <c r="Q92" s="21"/>
      <c r="R92" s="21"/>
      <c r="S92" s="21"/>
      <c r="T92" s="21"/>
    </row>
    <row r="93" spans="14:20" ht="11.1" customHeight="1">
      <c r="N93" s="21"/>
      <c r="O93" s="21"/>
      <c r="P93" s="21"/>
      <c r="Q93" s="21"/>
      <c r="R93" s="21"/>
      <c r="S93" s="21"/>
      <c r="T93" s="21"/>
    </row>
    <row r="94" spans="14:20" ht="11.1" customHeight="1">
      <c r="N94" s="21"/>
      <c r="O94" s="21"/>
      <c r="P94" s="21"/>
      <c r="Q94" s="21"/>
      <c r="R94" s="21"/>
      <c r="S94" s="21"/>
      <c r="T94" s="21"/>
    </row>
    <row r="95" spans="14:20" ht="11.1" customHeight="1">
      <c r="N95" s="21"/>
      <c r="O95" s="21"/>
      <c r="P95" s="21"/>
      <c r="Q95" s="21"/>
      <c r="R95" s="21"/>
      <c r="S95" s="21"/>
      <c r="T95" s="21"/>
    </row>
    <row r="96" spans="14:20" ht="11.1" customHeight="1">
      <c r="N96" s="21"/>
      <c r="O96" s="21"/>
      <c r="P96" s="21"/>
      <c r="Q96" s="21"/>
      <c r="R96" s="21"/>
      <c r="S96" s="21"/>
      <c r="T96" s="21"/>
    </row>
    <row r="97" spans="14:20" ht="11.1" customHeight="1">
      <c r="N97" s="21"/>
      <c r="O97" s="21"/>
      <c r="P97" s="21"/>
      <c r="Q97" s="21"/>
      <c r="R97" s="21"/>
      <c r="S97" s="21"/>
      <c r="T97" s="21"/>
    </row>
    <row r="98" spans="14:20" ht="11.1" customHeight="1">
      <c r="N98" s="21"/>
      <c r="O98" s="21"/>
      <c r="P98" s="21"/>
      <c r="Q98" s="21"/>
      <c r="R98" s="21"/>
      <c r="S98" s="21"/>
      <c r="T98" s="21"/>
    </row>
    <row r="99" spans="14:20" ht="11.1" customHeight="1">
      <c r="N99" s="21"/>
      <c r="O99" s="21"/>
      <c r="P99" s="21"/>
      <c r="Q99" s="21"/>
      <c r="R99" s="21"/>
      <c r="S99" s="21"/>
      <c r="T99" s="21"/>
    </row>
    <row r="100" spans="14:20" ht="11.1" customHeight="1">
      <c r="N100" s="21"/>
      <c r="O100" s="21"/>
      <c r="P100" s="21"/>
      <c r="Q100" s="21"/>
      <c r="R100" s="21"/>
      <c r="S100" s="21"/>
      <c r="T100" s="21"/>
    </row>
    <row r="101" spans="14:20" ht="11.1" customHeight="1">
      <c r="N101" s="21"/>
      <c r="O101" s="21"/>
      <c r="P101" s="21"/>
      <c r="Q101" s="21"/>
      <c r="R101" s="21"/>
      <c r="S101" s="21"/>
      <c r="T101" s="21"/>
    </row>
    <row r="102" spans="14:20" ht="11.1" customHeight="1">
      <c r="N102" s="21"/>
      <c r="O102" s="21"/>
      <c r="P102" s="21"/>
      <c r="Q102" s="21"/>
      <c r="R102" s="21"/>
      <c r="S102" s="21"/>
      <c r="T102" s="21"/>
    </row>
    <row r="105" spans="14:20" ht="11.1" customHeight="1"/>
    <row r="106" spans="14:20" ht="11.1" customHeight="1"/>
    <row r="107" spans="14:20" ht="11.1" customHeight="1"/>
    <row r="108" spans="14:20" ht="11.1" customHeight="1"/>
    <row r="109" spans="14:20" ht="11.1" customHeight="1"/>
    <row r="110" spans="14:20" ht="11.1" customHeight="1"/>
    <row r="111" spans="14:20" ht="11.1" customHeight="1"/>
    <row r="112" spans="14:20" ht="11.1" customHeight="1"/>
    <row r="113" spans="14:15" ht="11.1" customHeight="1"/>
    <row r="114" spans="14:15" ht="11.1" customHeight="1"/>
    <row r="115" spans="14:15" ht="11.1" customHeight="1"/>
    <row r="116" spans="14:15" ht="11.1" customHeight="1"/>
    <row r="117" spans="14:15" ht="11.1" customHeight="1"/>
    <row r="118" spans="14:15" ht="11.1" customHeight="1"/>
    <row r="119" spans="14:15" ht="11.1" customHeight="1"/>
    <row r="120" spans="14:15" ht="11.1" customHeight="1"/>
    <row r="121" spans="14:15" ht="11.1" customHeight="1"/>
    <row r="122" spans="14:15" ht="11.1" customHeight="1"/>
    <row r="123" spans="14:15" ht="11.1" customHeight="1"/>
    <row r="124" spans="14:15" ht="11.1" customHeight="1">
      <c r="N124" s="21"/>
    </row>
    <row r="125" spans="14:15" ht="11.1" customHeight="1">
      <c r="N125" s="21"/>
      <c r="O125" s="21"/>
    </row>
    <row r="126" spans="14:15" ht="11.1" customHeight="1">
      <c r="N126" s="21"/>
      <c r="O126" s="21"/>
    </row>
    <row r="127" spans="14:15" ht="11.1" customHeight="1">
      <c r="N127" s="21"/>
      <c r="O127" s="21"/>
    </row>
    <row r="128" spans="14:15" ht="11.1" customHeight="1">
      <c r="N128" s="21"/>
      <c r="O128" s="21"/>
    </row>
    <row r="129" spans="14:17" ht="11.1" customHeight="1">
      <c r="N129" s="21"/>
      <c r="O129" s="21"/>
    </row>
    <row r="130" spans="14:17" ht="11.1" customHeight="1">
      <c r="N130" s="21"/>
      <c r="O130" s="21"/>
    </row>
    <row r="131" spans="14:17" ht="11.1" customHeight="1">
      <c r="N131" s="21"/>
      <c r="O131" s="21"/>
    </row>
    <row r="132" spans="14:17" ht="11.1" customHeight="1">
      <c r="N132" s="21"/>
      <c r="O132" s="21"/>
    </row>
    <row r="133" spans="14:17" ht="11.1" customHeight="1">
      <c r="N133" s="21"/>
      <c r="O133" s="21"/>
    </row>
    <row r="134" spans="14:17" ht="11.1" customHeight="1">
      <c r="N134" s="21"/>
      <c r="O134" s="21"/>
    </row>
    <row r="135" spans="14:17">
      <c r="N135" s="21"/>
      <c r="O135" s="21"/>
    </row>
    <row r="136" spans="14:17">
      <c r="N136" s="21"/>
      <c r="O136" s="21"/>
    </row>
    <row r="137" spans="14:17">
      <c r="N137" s="21"/>
      <c r="O137" s="21"/>
    </row>
    <row r="138" spans="14:17">
      <c r="N138" s="21"/>
      <c r="O138" s="21"/>
    </row>
    <row r="139" spans="14:17">
      <c r="N139" s="21"/>
      <c r="O139" s="21"/>
    </row>
    <row r="140" spans="14:17">
      <c r="N140" s="21"/>
      <c r="O140" s="21"/>
    </row>
    <row r="141" spans="14:17">
      <c r="N141" s="21"/>
      <c r="O141" s="21"/>
      <c r="P141" s="21"/>
    </row>
    <row r="142" spans="14:17">
      <c r="N142" s="21"/>
      <c r="O142" s="21"/>
      <c r="P142" s="21"/>
    </row>
    <row r="143" spans="14:17">
      <c r="N143" s="21"/>
      <c r="O143" s="21"/>
      <c r="P143" s="21"/>
      <c r="Q143" s="21"/>
    </row>
    <row r="144" spans="14:17">
      <c r="N144" s="21"/>
      <c r="O144" s="21"/>
      <c r="P144" s="21"/>
      <c r="Q144" s="21"/>
    </row>
    <row r="145" spans="14:17">
      <c r="N145" s="21"/>
      <c r="O145" s="21"/>
      <c r="P145" s="21"/>
      <c r="Q145" s="21"/>
    </row>
    <row r="146" spans="14:17">
      <c r="N146" s="21"/>
      <c r="O146" s="21"/>
      <c r="P146" s="21"/>
      <c r="Q146" s="21"/>
    </row>
    <row r="147" spans="14:17">
      <c r="N147" s="21"/>
      <c r="O147" s="21"/>
      <c r="P147" s="21"/>
      <c r="Q147" s="21"/>
    </row>
    <row r="148" spans="14:17">
      <c r="N148" s="21"/>
      <c r="O148" s="21"/>
      <c r="P148" s="21"/>
      <c r="Q148" s="21"/>
    </row>
    <row r="149" spans="14:17">
      <c r="N149" s="21"/>
      <c r="O149" s="21"/>
      <c r="P149" s="21"/>
      <c r="Q149" s="21"/>
    </row>
    <row r="150" spans="14:17">
      <c r="N150" s="21"/>
      <c r="O150" s="21"/>
      <c r="P150" s="21"/>
      <c r="Q150" s="21"/>
    </row>
    <row r="163" spans="1:13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1:13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1:13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</row>
    <row r="167" spans="1:1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</row>
    <row r="168" spans="1:1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</row>
    <row r="169" spans="1:1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</row>
    <row r="170" spans="1:1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</row>
    <row r="171" spans="1:1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</row>
    <row r="172" spans="1:1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</row>
    <row r="173" spans="1:1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</row>
    <row r="174" spans="1:1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</row>
    <row r="175" spans="1:1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</row>
    <row r="176" spans="1:1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</row>
    <row r="177" spans="1:1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</row>
    <row r="178" spans="1:1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</row>
    <row r="179" spans="1:1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</row>
    <row r="180" spans="1:1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</row>
    <row r="182" spans="1:1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</row>
    <row r="183" spans="1:1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  <row r="184" spans="1:1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</row>
    <row r="185" spans="1:1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</row>
    <row r="186" spans="1:1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1:1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1:1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</row>
    <row r="189" spans="1:1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</row>
    <row r="190" spans="1:1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1:1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1:1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</row>
    <row r="197" spans="1:1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1:1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</row>
    <row r="200" spans="1:1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</row>
    <row r="201" spans="1:1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1:1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</row>
    <row r="203" spans="1:13">
      <c r="A203" s="21"/>
    </row>
    <row r="204" spans="1:13">
      <c r="A204" s="21"/>
    </row>
    <row r="205" spans="1:13">
      <c r="A205" s="21"/>
    </row>
    <row r="206" spans="1:13">
      <c r="A206" s="21"/>
    </row>
  </sheetData>
  <mergeCells count="11">
    <mergeCell ref="B14:M14"/>
    <mergeCell ref="B36:M36"/>
    <mergeCell ref="F10:H10"/>
    <mergeCell ref="F11:H11"/>
    <mergeCell ref="F12:H12"/>
    <mergeCell ref="F13:H13"/>
    <mergeCell ref="E3:G3"/>
    <mergeCell ref="D6:H6"/>
    <mergeCell ref="D7:H7"/>
    <mergeCell ref="D8:H8"/>
    <mergeCell ref="I6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8"/>
  <sheetViews>
    <sheetView topLeftCell="A5" workbookViewId="0">
      <selection activeCell="H47" sqref="H47"/>
    </sheetView>
  </sheetViews>
  <sheetFormatPr defaultColWidth="9.109375" defaultRowHeight="10.199999999999999"/>
  <cols>
    <col min="1" max="1" width="3.6640625" style="21" customWidth="1"/>
    <col min="2" max="2" width="27.5546875" style="21" customWidth="1"/>
    <col min="3" max="3" width="5.6640625" style="303" customWidth="1"/>
    <col min="4" max="4" width="9.5546875" style="21" bestFit="1" customWidth="1"/>
    <col min="5" max="8" width="7.77734375" style="21" customWidth="1"/>
    <col min="9" max="14" width="6.21875" style="21" customWidth="1"/>
    <col min="15" max="255" width="9.109375" style="21"/>
    <col min="256" max="256" width="3.6640625" style="21" customWidth="1"/>
    <col min="257" max="257" width="33.21875" style="21" customWidth="1"/>
    <col min="258" max="258" width="9.109375" style="21"/>
    <col min="259" max="259" width="9.5546875" style="21" bestFit="1" customWidth="1"/>
    <col min="260" max="262" width="9.109375" style="21"/>
    <col min="263" max="263" width="10.33203125" style="21" customWidth="1"/>
    <col min="264" max="264" width="7" style="21" customWidth="1"/>
    <col min="265" max="266" width="9.109375" style="21"/>
    <col min="267" max="267" width="6.5546875" style="21" customWidth="1"/>
    <col min="268" max="511" width="9.109375" style="21"/>
    <col min="512" max="512" width="3.6640625" style="21" customWidth="1"/>
    <col min="513" max="513" width="33.21875" style="21" customWidth="1"/>
    <col min="514" max="514" width="9.109375" style="21"/>
    <col min="515" max="515" width="9.5546875" style="21" bestFit="1" customWidth="1"/>
    <col min="516" max="518" width="9.109375" style="21"/>
    <col min="519" max="519" width="10.33203125" style="21" customWidth="1"/>
    <col min="520" max="520" width="7" style="21" customWidth="1"/>
    <col min="521" max="522" width="9.109375" style="21"/>
    <col min="523" max="523" width="6.5546875" style="21" customWidth="1"/>
    <col min="524" max="767" width="9.109375" style="21"/>
    <col min="768" max="768" width="3.6640625" style="21" customWidth="1"/>
    <col min="769" max="769" width="33.21875" style="21" customWidth="1"/>
    <col min="770" max="770" width="9.109375" style="21"/>
    <col min="771" max="771" width="9.5546875" style="21" bestFit="1" customWidth="1"/>
    <col min="772" max="774" width="9.109375" style="21"/>
    <col min="775" max="775" width="10.33203125" style="21" customWidth="1"/>
    <col min="776" max="776" width="7" style="21" customWidth="1"/>
    <col min="777" max="778" width="9.109375" style="21"/>
    <col min="779" max="779" width="6.5546875" style="21" customWidth="1"/>
    <col min="780" max="1023" width="9.109375" style="21"/>
    <col min="1024" max="1024" width="3.6640625" style="21" customWidth="1"/>
    <col min="1025" max="1025" width="33.21875" style="21" customWidth="1"/>
    <col min="1026" max="1026" width="9.109375" style="21"/>
    <col min="1027" max="1027" width="9.5546875" style="21" bestFit="1" customWidth="1"/>
    <col min="1028" max="1030" width="9.109375" style="21"/>
    <col min="1031" max="1031" width="10.33203125" style="21" customWidth="1"/>
    <col min="1032" max="1032" width="7" style="21" customWidth="1"/>
    <col min="1033" max="1034" width="9.109375" style="21"/>
    <col min="1035" max="1035" width="6.5546875" style="21" customWidth="1"/>
    <col min="1036" max="1279" width="9.109375" style="21"/>
    <col min="1280" max="1280" width="3.6640625" style="21" customWidth="1"/>
    <col min="1281" max="1281" width="33.21875" style="21" customWidth="1"/>
    <col min="1282" max="1282" width="9.109375" style="21"/>
    <col min="1283" max="1283" width="9.5546875" style="21" bestFit="1" customWidth="1"/>
    <col min="1284" max="1286" width="9.109375" style="21"/>
    <col min="1287" max="1287" width="10.33203125" style="21" customWidth="1"/>
    <col min="1288" max="1288" width="7" style="21" customWidth="1"/>
    <col min="1289" max="1290" width="9.109375" style="21"/>
    <col min="1291" max="1291" width="6.5546875" style="21" customWidth="1"/>
    <col min="1292" max="1535" width="9.109375" style="21"/>
    <col min="1536" max="1536" width="3.6640625" style="21" customWidth="1"/>
    <col min="1537" max="1537" width="33.21875" style="21" customWidth="1"/>
    <col min="1538" max="1538" width="9.109375" style="21"/>
    <col min="1539" max="1539" width="9.5546875" style="21" bestFit="1" customWidth="1"/>
    <col min="1540" max="1542" width="9.109375" style="21"/>
    <col min="1543" max="1543" width="10.33203125" style="21" customWidth="1"/>
    <col min="1544" max="1544" width="7" style="21" customWidth="1"/>
    <col min="1545" max="1546" width="9.109375" style="21"/>
    <col min="1547" max="1547" width="6.5546875" style="21" customWidth="1"/>
    <col min="1548" max="1791" width="9.109375" style="21"/>
    <col min="1792" max="1792" width="3.6640625" style="21" customWidth="1"/>
    <col min="1793" max="1793" width="33.21875" style="21" customWidth="1"/>
    <col min="1794" max="1794" width="9.109375" style="21"/>
    <col min="1795" max="1795" width="9.5546875" style="21" bestFit="1" customWidth="1"/>
    <col min="1796" max="1798" width="9.109375" style="21"/>
    <col min="1799" max="1799" width="10.33203125" style="21" customWidth="1"/>
    <col min="1800" max="1800" width="7" style="21" customWidth="1"/>
    <col min="1801" max="1802" width="9.109375" style="21"/>
    <col min="1803" max="1803" width="6.5546875" style="21" customWidth="1"/>
    <col min="1804" max="2047" width="9.109375" style="21"/>
    <col min="2048" max="2048" width="3.6640625" style="21" customWidth="1"/>
    <col min="2049" max="2049" width="33.21875" style="21" customWidth="1"/>
    <col min="2050" max="2050" width="9.109375" style="21"/>
    <col min="2051" max="2051" width="9.5546875" style="21" bestFit="1" customWidth="1"/>
    <col min="2052" max="2054" width="9.109375" style="21"/>
    <col min="2055" max="2055" width="10.33203125" style="21" customWidth="1"/>
    <col min="2056" max="2056" width="7" style="21" customWidth="1"/>
    <col min="2057" max="2058" width="9.109375" style="21"/>
    <col min="2059" max="2059" width="6.5546875" style="21" customWidth="1"/>
    <col min="2060" max="2303" width="9.109375" style="21"/>
    <col min="2304" max="2304" width="3.6640625" style="21" customWidth="1"/>
    <col min="2305" max="2305" width="33.21875" style="21" customWidth="1"/>
    <col min="2306" max="2306" width="9.109375" style="21"/>
    <col min="2307" max="2307" width="9.5546875" style="21" bestFit="1" customWidth="1"/>
    <col min="2308" max="2310" width="9.109375" style="21"/>
    <col min="2311" max="2311" width="10.33203125" style="21" customWidth="1"/>
    <col min="2312" max="2312" width="7" style="21" customWidth="1"/>
    <col min="2313" max="2314" width="9.109375" style="21"/>
    <col min="2315" max="2315" width="6.5546875" style="21" customWidth="1"/>
    <col min="2316" max="2559" width="9.109375" style="21"/>
    <col min="2560" max="2560" width="3.6640625" style="21" customWidth="1"/>
    <col min="2561" max="2561" width="33.21875" style="21" customWidth="1"/>
    <col min="2562" max="2562" width="9.109375" style="21"/>
    <col min="2563" max="2563" width="9.5546875" style="21" bestFit="1" customWidth="1"/>
    <col min="2564" max="2566" width="9.109375" style="21"/>
    <col min="2567" max="2567" width="10.33203125" style="21" customWidth="1"/>
    <col min="2568" max="2568" width="7" style="21" customWidth="1"/>
    <col min="2569" max="2570" width="9.109375" style="21"/>
    <col min="2571" max="2571" width="6.5546875" style="21" customWidth="1"/>
    <col min="2572" max="2815" width="9.109375" style="21"/>
    <col min="2816" max="2816" width="3.6640625" style="21" customWidth="1"/>
    <col min="2817" max="2817" width="33.21875" style="21" customWidth="1"/>
    <col min="2818" max="2818" width="9.109375" style="21"/>
    <col min="2819" max="2819" width="9.5546875" style="21" bestFit="1" customWidth="1"/>
    <col min="2820" max="2822" width="9.109375" style="21"/>
    <col min="2823" max="2823" width="10.33203125" style="21" customWidth="1"/>
    <col min="2824" max="2824" width="7" style="21" customWidth="1"/>
    <col min="2825" max="2826" width="9.109375" style="21"/>
    <col min="2827" max="2827" width="6.5546875" style="21" customWidth="1"/>
    <col min="2828" max="3071" width="9.109375" style="21"/>
    <col min="3072" max="3072" width="3.6640625" style="21" customWidth="1"/>
    <col min="3073" max="3073" width="33.21875" style="21" customWidth="1"/>
    <col min="3074" max="3074" width="9.109375" style="21"/>
    <col min="3075" max="3075" width="9.5546875" style="21" bestFit="1" customWidth="1"/>
    <col min="3076" max="3078" width="9.109375" style="21"/>
    <col min="3079" max="3079" width="10.33203125" style="21" customWidth="1"/>
    <col min="3080" max="3080" width="7" style="21" customWidth="1"/>
    <col min="3081" max="3082" width="9.109375" style="21"/>
    <col min="3083" max="3083" width="6.5546875" style="21" customWidth="1"/>
    <col min="3084" max="3327" width="9.109375" style="21"/>
    <col min="3328" max="3328" width="3.6640625" style="21" customWidth="1"/>
    <col min="3329" max="3329" width="33.21875" style="21" customWidth="1"/>
    <col min="3330" max="3330" width="9.109375" style="21"/>
    <col min="3331" max="3331" width="9.5546875" style="21" bestFit="1" customWidth="1"/>
    <col min="3332" max="3334" width="9.109375" style="21"/>
    <col min="3335" max="3335" width="10.33203125" style="21" customWidth="1"/>
    <col min="3336" max="3336" width="7" style="21" customWidth="1"/>
    <col min="3337" max="3338" width="9.109375" style="21"/>
    <col min="3339" max="3339" width="6.5546875" style="21" customWidth="1"/>
    <col min="3340" max="3583" width="9.109375" style="21"/>
    <col min="3584" max="3584" width="3.6640625" style="21" customWidth="1"/>
    <col min="3585" max="3585" width="33.21875" style="21" customWidth="1"/>
    <col min="3586" max="3586" width="9.109375" style="21"/>
    <col min="3587" max="3587" width="9.5546875" style="21" bestFit="1" customWidth="1"/>
    <col min="3588" max="3590" width="9.109375" style="21"/>
    <col min="3591" max="3591" width="10.33203125" style="21" customWidth="1"/>
    <col min="3592" max="3592" width="7" style="21" customWidth="1"/>
    <col min="3593" max="3594" width="9.109375" style="21"/>
    <col min="3595" max="3595" width="6.5546875" style="21" customWidth="1"/>
    <col min="3596" max="3839" width="9.109375" style="21"/>
    <col min="3840" max="3840" width="3.6640625" style="21" customWidth="1"/>
    <col min="3841" max="3841" width="33.21875" style="21" customWidth="1"/>
    <col min="3842" max="3842" width="9.109375" style="21"/>
    <col min="3843" max="3843" width="9.5546875" style="21" bestFit="1" customWidth="1"/>
    <col min="3844" max="3846" width="9.109375" style="21"/>
    <col min="3847" max="3847" width="10.33203125" style="21" customWidth="1"/>
    <col min="3848" max="3848" width="7" style="21" customWidth="1"/>
    <col min="3849" max="3850" width="9.109375" style="21"/>
    <col min="3851" max="3851" width="6.5546875" style="21" customWidth="1"/>
    <col min="3852" max="4095" width="9.109375" style="21"/>
    <col min="4096" max="4096" width="3.6640625" style="21" customWidth="1"/>
    <col min="4097" max="4097" width="33.21875" style="21" customWidth="1"/>
    <col min="4098" max="4098" width="9.109375" style="21"/>
    <col min="4099" max="4099" width="9.5546875" style="21" bestFit="1" customWidth="1"/>
    <col min="4100" max="4102" width="9.109375" style="21"/>
    <col min="4103" max="4103" width="10.33203125" style="21" customWidth="1"/>
    <col min="4104" max="4104" width="7" style="21" customWidth="1"/>
    <col min="4105" max="4106" width="9.109375" style="21"/>
    <col min="4107" max="4107" width="6.5546875" style="21" customWidth="1"/>
    <col min="4108" max="4351" width="9.109375" style="21"/>
    <col min="4352" max="4352" width="3.6640625" style="21" customWidth="1"/>
    <col min="4353" max="4353" width="33.21875" style="21" customWidth="1"/>
    <col min="4354" max="4354" width="9.109375" style="21"/>
    <col min="4355" max="4355" width="9.5546875" style="21" bestFit="1" customWidth="1"/>
    <col min="4356" max="4358" width="9.109375" style="21"/>
    <col min="4359" max="4359" width="10.33203125" style="21" customWidth="1"/>
    <col min="4360" max="4360" width="7" style="21" customWidth="1"/>
    <col min="4361" max="4362" width="9.109375" style="21"/>
    <col min="4363" max="4363" width="6.5546875" style="21" customWidth="1"/>
    <col min="4364" max="4607" width="9.109375" style="21"/>
    <col min="4608" max="4608" width="3.6640625" style="21" customWidth="1"/>
    <col min="4609" max="4609" width="33.21875" style="21" customWidth="1"/>
    <col min="4610" max="4610" width="9.109375" style="21"/>
    <col min="4611" max="4611" width="9.5546875" style="21" bestFit="1" customWidth="1"/>
    <col min="4612" max="4614" width="9.109375" style="21"/>
    <col min="4615" max="4615" width="10.33203125" style="21" customWidth="1"/>
    <col min="4616" max="4616" width="7" style="21" customWidth="1"/>
    <col min="4617" max="4618" width="9.109375" style="21"/>
    <col min="4619" max="4619" width="6.5546875" style="21" customWidth="1"/>
    <col min="4620" max="4863" width="9.109375" style="21"/>
    <col min="4864" max="4864" width="3.6640625" style="21" customWidth="1"/>
    <col min="4865" max="4865" width="33.21875" style="21" customWidth="1"/>
    <col min="4866" max="4866" width="9.109375" style="21"/>
    <col min="4867" max="4867" width="9.5546875" style="21" bestFit="1" customWidth="1"/>
    <col min="4868" max="4870" width="9.109375" style="21"/>
    <col min="4871" max="4871" width="10.33203125" style="21" customWidth="1"/>
    <col min="4872" max="4872" width="7" style="21" customWidth="1"/>
    <col min="4873" max="4874" width="9.109375" style="21"/>
    <col min="4875" max="4875" width="6.5546875" style="21" customWidth="1"/>
    <col min="4876" max="5119" width="9.109375" style="21"/>
    <col min="5120" max="5120" width="3.6640625" style="21" customWidth="1"/>
    <col min="5121" max="5121" width="33.21875" style="21" customWidth="1"/>
    <col min="5122" max="5122" width="9.109375" style="21"/>
    <col min="5123" max="5123" width="9.5546875" style="21" bestFit="1" customWidth="1"/>
    <col min="5124" max="5126" width="9.109375" style="21"/>
    <col min="5127" max="5127" width="10.33203125" style="21" customWidth="1"/>
    <col min="5128" max="5128" width="7" style="21" customWidth="1"/>
    <col min="5129" max="5130" width="9.109375" style="21"/>
    <col min="5131" max="5131" width="6.5546875" style="21" customWidth="1"/>
    <col min="5132" max="5375" width="9.109375" style="21"/>
    <col min="5376" max="5376" width="3.6640625" style="21" customWidth="1"/>
    <col min="5377" max="5377" width="33.21875" style="21" customWidth="1"/>
    <col min="5378" max="5378" width="9.109375" style="21"/>
    <col min="5379" max="5379" width="9.5546875" style="21" bestFit="1" customWidth="1"/>
    <col min="5380" max="5382" width="9.109375" style="21"/>
    <col min="5383" max="5383" width="10.33203125" style="21" customWidth="1"/>
    <col min="5384" max="5384" width="7" style="21" customWidth="1"/>
    <col min="5385" max="5386" width="9.109375" style="21"/>
    <col min="5387" max="5387" width="6.5546875" style="21" customWidth="1"/>
    <col min="5388" max="5631" width="9.109375" style="21"/>
    <col min="5632" max="5632" width="3.6640625" style="21" customWidth="1"/>
    <col min="5633" max="5633" width="33.21875" style="21" customWidth="1"/>
    <col min="5634" max="5634" width="9.109375" style="21"/>
    <col min="5635" max="5635" width="9.5546875" style="21" bestFit="1" customWidth="1"/>
    <col min="5636" max="5638" width="9.109375" style="21"/>
    <col min="5639" max="5639" width="10.33203125" style="21" customWidth="1"/>
    <col min="5640" max="5640" width="7" style="21" customWidth="1"/>
    <col min="5641" max="5642" width="9.109375" style="21"/>
    <col min="5643" max="5643" width="6.5546875" style="21" customWidth="1"/>
    <col min="5644" max="5887" width="9.109375" style="21"/>
    <col min="5888" max="5888" width="3.6640625" style="21" customWidth="1"/>
    <col min="5889" max="5889" width="33.21875" style="21" customWidth="1"/>
    <col min="5890" max="5890" width="9.109375" style="21"/>
    <col min="5891" max="5891" width="9.5546875" style="21" bestFit="1" customWidth="1"/>
    <col min="5892" max="5894" width="9.109375" style="21"/>
    <col min="5895" max="5895" width="10.33203125" style="21" customWidth="1"/>
    <col min="5896" max="5896" width="7" style="21" customWidth="1"/>
    <col min="5897" max="5898" width="9.109375" style="21"/>
    <col min="5899" max="5899" width="6.5546875" style="21" customWidth="1"/>
    <col min="5900" max="6143" width="9.109375" style="21"/>
    <col min="6144" max="6144" width="3.6640625" style="21" customWidth="1"/>
    <col min="6145" max="6145" width="33.21875" style="21" customWidth="1"/>
    <col min="6146" max="6146" width="9.109375" style="21"/>
    <col min="6147" max="6147" width="9.5546875" style="21" bestFit="1" customWidth="1"/>
    <col min="6148" max="6150" width="9.109375" style="21"/>
    <col min="6151" max="6151" width="10.33203125" style="21" customWidth="1"/>
    <col min="6152" max="6152" width="7" style="21" customWidth="1"/>
    <col min="6153" max="6154" width="9.109375" style="21"/>
    <col min="6155" max="6155" width="6.5546875" style="21" customWidth="1"/>
    <col min="6156" max="6399" width="9.109375" style="21"/>
    <col min="6400" max="6400" width="3.6640625" style="21" customWidth="1"/>
    <col min="6401" max="6401" width="33.21875" style="21" customWidth="1"/>
    <col min="6402" max="6402" width="9.109375" style="21"/>
    <col min="6403" max="6403" width="9.5546875" style="21" bestFit="1" customWidth="1"/>
    <col min="6404" max="6406" width="9.109375" style="21"/>
    <col min="6407" max="6407" width="10.33203125" style="21" customWidth="1"/>
    <col min="6408" max="6408" width="7" style="21" customWidth="1"/>
    <col min="6409" max="6410" width="9.109375" style="21"/>
    <col min="6411" max="6411" width="6.5546875" style="21" customWidth="1"/>
    <col min="6412" max="6655" width="9.109375" style="21"/>
    <col min="6656" max="6656" width="3.6640625" style="21" customWidth="1"/>
    <col min="6657" max="6657" width="33.21875" style="21" customWidth="1"/>
    <col min="6658" max="6658" width="9.109375" style="21"/>
    <col min="6659" max="6659" width="9.5546875" style="21" bestFit="1" customWidth="1"/>
    <col min="6660" max="6662" width="9.109375" style="21"/>
    <col min="6663" max="6663" width="10.33203125" style="21" customWidth="1"/>
    <col min="6664" max="6664" width="7" style="21" customWidth="1"/>
    <col min="6665" max="6666" width="9.109375" style="21"/>
    <col min="6667" max="6667" width="6.5546875" style="21" customWidth="1"/>
    <col min="6668" max="6911" width="9.109375" style="21"/>
    <col min="6912" max="6912" width="3.6640625" style="21" customWidth="1"/>
    <col min="6913" max="6913" width="33.21875" style="21" customWidth="1"/>
    <col min="6914" max="6914" width="9.109375" style="21"/>
    <col min="6915" max="6915" width="9.5546875" style="21" bestFit="1" customWidth="1"/>
    <col min="6916" max="6918" width="9.109375" style="21"/>
    <col min="6919" max="6919" width="10.33203125" style="21" customWidth="1"/>
    <col min="6920" max="6920" width="7" style="21" customWidth="1"/>
    <col min="6921" max="6922" width="9.109375" style="21"/>
    <col min="6923" max="6923" width="6.5546875" style="21" customWidth="1"/>
    <col min="6924" max="7167" width="9.109375" style="21"/>
    <col min="7168" max="7168" width="3.6640625" style="21" customWidth="1"/>
    <col min="7169" max="7169" width="33.21875" style="21" customWidth="1"/>
    <col min="7170" max="7170" width="9.109375" style="21"/>
    <col min="7171" max="7171" width="9.5546875" style="21" bestFit="1" customWidth="1"/>
    <col min="7172" max="7174" width="9.109375" style="21"/>
    <col min="7175" max="7175" width="10.33203125" style="21" customWidth="1"/>
    <col min="7176" max="7176" width="7" style="21" customWidth="1"/>
    <col min="7177" max="7178" width="9.109375" style="21"/>
    <col min="7179" max="7179" width="6.5546875" style="21" customWidth="1"/>
    <col min="7180" max="7423" width="9.109375" style="21"/>
    <col min="7424" max="7424" width="3.6640625" style="21" customWidth="1"/>
    <col min="7425" max="7425" width="33.21875" style="21" customWidth="1"/>
    <col min="7426" max="7426" width="9.109375" style="21"/>
    <col min="7427" max="7427" width="9.5546875" style="21" bestFit="1" customWidth="1"/>
    <col min="7428" max="7430" width="9.109375" style="21"/>
    <col min="7431" max="7431" width="10.33203125" style="21" customWidth="1"/>
    <col min="7432" max="7432" width="7" style="21" customWidth="1"/>
    <col min="7433" max="7434" width="9.109375" style="21"/>
    <col min="7435" max="7435" width="6.5546875" style="21" customWidth="1"/>
    <col min="7436" max="7679" width="9.109375" style="21"/>
    <col min="7680" max="7680" width="3.6640625" style="21" customWidth="1"/>
    <col min="7681" max="7681" width="33.21875" style="21" customWidth="1"/>
    <col min="7682" max="7682" width="9.109375" style="21"/>
    <col min="7683" max="7683" width="9.5546875" style="21" bestFit="1" customWidth="1"/>
    <col min="7684" max="7686" width="9.109375" style="21"/>
    <col min="7687" max="7687" width="10.33203125" style="21" customWidth="1"/>
    <col min="7688" max="7688" width="7" style="21" customWidth="1"/>
    <col min="7689" max="7690" width="9.109375" style="21"/>
    <col min="7691" max="7691" width="6.5546875" style="21" customWidth="1"/>
    <col min="7692" max="7935" width="9.109375" style="21"/>
    <col min="7936" max="7936" width="3.6640625" style="21" customWidth="1"/>
    <col min="7937" max="7937" width="33.21875" style="21" customWidth="1"/>
    <col min="7938" max="7938" width="9.109375" style="21"/>
    <col min="7939" max="7939" width="9.5546875" style="21" bestFit="1" customWidth="1"/>
    <col min="7940" max="7942" width="9.109375" style="21"/>
    <col min="7943" max="7943" width="10.33203125" style="21" customWidth="1"/>
    <col min="7944" max="7944" width="7" style="21" customWidth="1"/>
    <col min="7945" max="7946" width="9.109375" style="21"/>
    <col min="7947" max="7947" width="6.5546875" style="21" customWidth="1"/>
    <col min="7948" max="8191" width="9.109375" style="21"/>
    <col min="8192" max="8192" width="3.6640625" style="21" customWidth="1"/>
    <col min="8193" max="8193" width="33.21875" style="21" customWidth="1"/>
    <col min="8194" max="8194" width="9.109375" style="21"/>
    <col min="8195" max="8195" width="9.5546875" style="21" bestFit="1" customWidth="1"/>
    <col min="8196" max="8198" width="9.109375" style="21"/>
    <col min="8199" max="8199" width="10.33203125" style="21" customWidth="1"/>
    <col min="8200" max="8200" width="7" style="21" customWidth="1"/>
    <col min="8201" max="8202" width="9.109375" style="21"/>
    <col min="8203" max="8203" width="6.5546875" style="21" customWidth="1"/>
    <col min="8204" max="8447" width="9.109375" style="21"/>
    <col min="8448" max="8448" width="3.6640625" style="21" customWidth="1"/>
    <col min="8449" max="8449" width="33.21875" style="21" customWidth="1"/>
    <col min="8450" max="8450" width="9.109375" style="21"/>
    <col min="8451" max="8451" width="9.5546875" style="21" bestFit="1" customWidth="1"/>
    <col min="8452" max="8454" width="9.109375" style="21"/>
    <col min="8455" max="8455" width="10.33203125" style="21" customWidth="1"/>
    <col min="8456" max="8456" width="7" style="21" customWidth="1"/>
    <col min="8457" max="8458" width="9.109375" style="21"/>
    <col min="8459" max="8459" width="6.5546875" style="21" customWidth="1"/>
    <col min="8460" max="8703" width="9.109375" style="21"/>
    <col min="8704" max="8704" width="3.6640625" style="21" customWidth="1"/>
    <col min="8705" max="8705" width="33.21875" style="21" customWidth="1"/>
    <col min="8706" max="8706" width="9.109375" style="21"/>
    <col min="8707" max="8707" width="9.5546875" style="21" bestFit="1" customWidth="1"/>
    <col min="8708" max="8710" width="9.109375" style="21"/>
    <col min="8711" max="8711" width="10.33203125" style="21" customWidth="1"/>
    <col min="8712" max="8712" width="7" style="21" customWidth="1"/>
    <col min="8713" max="8714" width="9.109375" style="21"/>
    <col min="8715" max="8715" width="6.5546875" style="21" customWidth="1"/>
    <col min="8716" max="8959" width="9.109375" style="21"/>
    <col min="8960" max="8960" width="3.6640625" style="21" customWidth="1"/>
    <col min="8961" max="8961" width="33.21875" style="21" customWidth="1"/>
    <col min="8962" max="8962" width="9.109375" style="21"/>
    <col min="8963" max="8963" width="9.5546875" style="21" bestFit="1" customWidth="1"/>
    <col min="8964" max="8966" width="9.109375" style="21"/>
    <col min="8967" max="8967" width="10.33203125" style="21" customWidth="1"/>
    <col min="8968" max="8968" width="7" style="21" customWidth="1"/>
    <col min="8969" max="8970" width="9.109375" style="21"/>
    <col min="8971" max="8971" width="6.5546875" style="21" customWidth="1"/>
    <col min="8972" max="9215" width="9.109375" style="21"/>
    <col min="9216" max="9216" width="3.6640625" style="21" customWidth="1"/>
    <col min="9217" max="9217" width="33.21875" style="21" customWidth="1"/>
    <col min="9218" max="9218" width="9.109375" style="21"/>
    <col min="9219" max="9219" width="9.5546875" style="21" bestFit="1" customWidth="1"/>
    <col min="9220" max="9222" width="9.109375" style="21"/>
    <col min="9223" max="9223" width="10.33203125" style="21" customWidth="1"/>
    <col min="9224" max="9224" width="7" style="21" customWidth="1"/>
    <col min="9225" max="9226" width="9.109375" style="21"/>
    <col min="9227" max="9227" width="6.5546875" style="21" customWidth="1"/>
    <col min="9228" max="9471" width="9.109375" style="21"/>
    <col min="9472" max="9472" width="3.6640625" style="21" customWidth="1"/>
    <col min="9473" max="9473" width="33.21875" style="21" customWidth="1"/>
    <col min="9474" max="9474" width="9.109375" style="21"/>
    <col min="9475" max="9475" width="9.5546875" style="21" bestFit="1" customWidth="1"/>
    <col min="9476" max="9478" width="9.109375" style="21"/>
    <col min="9479" max="9479" width="10.33203125" style="21" customWidth="1"/>
    <col min="9480" max="9480" width="7" style="21" customWidth="1"/>
    <col min="9481" max="9482" width="9.109375" style="21"/>
    <col min="9483" max="9483" width="6.5546875" style="21" customWidth="1"/>
    <col min="9484" max="9727" width="9.109375" style="21"/>
    <col min="9728" max="9728" width="3.6640625" style="21" customWidth="1"/>
    <col min="9729" max="9729" width="33.21875" style="21" customWidth="1"/>
    <col min="9730" max="9730" width="9.109375" style="21"/>
    <col min="9731" max="9731" width="9.5546875" style="21" bestFit="1" customWidth="1"/>
    <col min="9732" max="9734" width="9.109375" style="21"/>
    <col min="9735" max="9735" width="10.33203125" style="21" customWidth="1"/>
    <col min="9736" max="9736" width="7" style="21" customWidth="1"/>
    <col min="9737" max="9738" width="9.109375" style="21"/>
    <col min="9739" max="9739" width="6.5546875" style="21" customWidth="1"/>
    <col min="9740" max="9983" width="9.109375" style="21"/>
    <col min="9984" max="9984" width="3.6640625" style="21" customWidth="1"/>
    <col min="9985" max="9985" width="33.21875" style="21" customWidth="1"/>
    <col min="9986" max="9986" width="9.109375" style="21"/>
    <col min="9987" max="9987" width="9.5546875" style="21" bestFit="1" customWidth="1"/>
    <col min="9988" max="9990" width="9.109375" style="21"/>
    <col min="9991" max="9991" width="10.33203125" style="21" customWidth="1"/>
    <col min="9992" max="9992" width="7" style="21" customWidth="1"/>
    <col min="9993" max="9994" width="9.109375" style="21"/>
    <col min="9995" max="9995" width="6.5546875" style="21" customWidth="1"/>
    <col min="9996" max="10239" width="9.109375" style="21"/>
    <col min="10240" max="10240" width="3.6640625" style="21" customWidth="1"/>
    <col min="10241" max="10241" width="33.21875" style="21" customWidth="1"/>
    <col min="10242" max="10242" width="9.109375" style="21"/>
    <col min="10243" max="10243" width="9.5546875" style="21" bestFit="1" customWidth="1"/>
    <col min="10244" max="10246" width="9.109375" style="21"/>
    <col min="10247" max="10247" width="10.33203125" style="21" customWidth="1"/>
    <col min="10248" max="10248" width="7" style="21" customWidth="1"/>
    <col min="10249" max="10250" width="9.109375" style="21"/>
    <col min="10251" max="10251" width="6.5546875" style="21" customWidth="1"/>
    <col min="10252" max="10495" width="9.109375" style="21"/>
    <col min="10496" max="10496" width="3.6640625" style="21" customWidth="1"/>
    <col min="10497" max="10497" width="33.21875" style="21" customWidth="1"/>
    <col min="10498" max="10498" width="9.109375" style="21"/>
    <col min="10499" max="10499" width="9.5546875" style="21" bestFit="1" customWidth="1"/>
    <col min="10500" max="10502" width="9.109375" style="21"/>
    <col min="10503" max="10503" width="10.33203125" style="21" customWidth="1"/>
    <col min="10504" max="10504" width="7" style="21" customWidth="1"/>
    <col min="10505" max="10506" width="9.109375" style="21"/>
    <col min="10507" max="10507" width="6.5546875" style="21" customWidth="1"/>
    <col min="10508" max="10751" width="9.109375" style="21"/>
    <col min="10752" max="10752" width="3.6640625" style="21" customWidth="1"/>
    <col min="10753" max="10753" width="33.21875" style="21" customWidth="1"/>
    <col min="10754" max="10754" width="9.109375" style="21"/>
    <col min="10755" max="10755" width="9.5546875" style="21" bestFit="1" customWidth="1"/>
    <col min="10756" max="10758" width="9.109375" style="21"/>
    <col min="10759" max="10759" width="10.33203125" style="21" customWidth="1"/>
    <col min="10760" max="10760" width="7" style="21" customWidth="1"/>
    <col min="10761" max="10762" width="9.109375" style="21"/>
    <col min="10763" max="10763" width="6.5546875" style="21" customWidth="1"/>
    <col min="10764" max="11007" width="9.109375" style="21"/>
    <col min="11008" max="11008" width="3.6640625" style="21" customWidth="1"/>
    <col min="11009" max="11009" width="33.21875" style="21" customWidth="1"/>
    <col min="11010" max="11010" width="9.109375" style="21"/>
    <col min="11011" max="11011" width="9.5546875" style="21" bestFit="1" customWidth="1"/>
    <col min="11012" max="11014" width="9.109375" style="21"/>
    <col min="11015" max="11015" width="10.33203125" style="21" customWidth="1"/>
    <col min="11016" max="11016" width="7" style="21" customWidth="1"/>
    <col min="11017" max="11018" width="9.109375" style="21"/>
    <col min="11019" max="11019" width="6.5546875" style="21" customWidth="1"/>
    <col min="11020" max="11263" width="9.109375" style="21"/>
    <col min="11264" max="11264" width="3.6640625" style="21" customWidth="1"/>
    <col min="11265" max="11265" width="33.21875" style="21" customWidth="1"/>
    <col min="11266" max="11266" width="9.109375" style="21"/>
    <col min="11267" max="11267" width="9.5546875" style="21" bestFit="1" customWidth="1"/>
    <col min="11268" max="11270" width="9.109375" style="21"/>
    <col min="11271" max="11271" width="10.33203125" style="21" customWidth="1"/>
    <col min="11272" max="11272" width="7" style="21" customWidth="1"/>
    <col min="11273" max="11274" width="9.109375" style="21"/>
    <col min="11275" max="11275" width="6.5546875" style="21" customWidth="1"/>
    <col min="11276" max="11519" width="9.109375" style="21"/>
    <col min="11520" max="11520" width="3.6640625" style="21" customWidth="1"/>
    <col min="11521" max="11521" width="33.21875" style="21" customWidth="1"/>
    <col min="11522" max="11522" width="9.109375" style="21"/>
    <col min="11523" max="11523" width="9.5546875" style="21" bestFit="1" customWidth="1"/>
    <col min="11524" max="11526" width="9.109375" style="21"/>
    <col min="11527" max="11527" width="10.33203125" style="21" customWidth="1"/>
    <col min="11528" max="11528" width="7" style="21" customWidth="1"/>
    <col min="11529" max="11530" width="9.109375" style="21"/>
    <col min="11531" max="11531" width="6.5546875" style="21" customWidth="1"/>
    <col min="11532" max="11775" width="9.109375" style="21"/>
    <col min="11776" max="11776" width="3.6640625" style="21" customWidth="1"/>
    <col min="11777" max="11777" width="33.21875" style="21" customWidth="1"/>
    <col min="11778" max="11778" width="9.109375" style="21"/>
    <col min="11779" max="11779" width="9.5546875" style="21" bestFit="1" customWidth="1"/>
    <col min="11780" max="11782" width="9.109375" style="21"/>
    <col min="11783" max="11783" width="10.33203125" style="21" customWidth="1"/>
    <col min="11784" max="11784" width="7" style="21" customWidth="1"/>
    <col min="11785" max="11786" width="9.109375" style="21"/>
    <col min="11787" max="11787" width="6.5546875" style="21" customWidth="1"/>
    <col min="11788" max="12031" width="9.109375" style="21"/>
    <col min="12032" max="12032" width="3.6640625" style="21" customWidth="1"/>
    <col min="12033" max="12033" width="33.21875" style="21" customWidth="1"/>
    <col min="12034" max="12034" width="9.109375" style="21"/>
    <col min="12035" max="12035" width="9.5546875" style="21" bestFit="1" customWidth="1"/>
    <col min="12036" max="12038" width="9.109375" style="21"/>
    <col min="12039" max="12039" width="10.33203125" style="21" customWidth="1"/>
    <col min="12040" max="12040" width="7" style="21" customWidth="1"/>
    <col min="12041" max="12042" width="9.109375" style="21"/>
    <col min="12043" max="12043" width="6.5546875" style="21" customWidth="1"/>
    <col min="12044" max="12287" width="9.109375" style="21"/>
    <col min="12288" max="12288" width="3.6640625" style="21" customWidth="1"/>
    <col min="12289" max="12289" width="33.21875" style="21" customWidth="1"/>
    <col min="12290" max="12290" width="9.109375" style="21"/>
    <col min="12291" max="12291" width="9.5546875" style="21" bestFit="1" customWidth="1"/>
    <col min="12292" max="12294" width="9.109375" style="21"/>
    <col min="12295" max="12295" width="10.33203125" style="21" customWidth="1"/>
    <col min="12296" max="12296" width="7" style="21" customWidth="1"/>
    <col min="12297" max="12298" width="9.109375" style="21"/>
    <col min="12299" max="12299" width="6.5546875" style="21" customWidth="1"/>
    <col min="12300" max="12543" width="9.109375" style="21"/>
    <col min="12544" max="12544" width="3.6640625" style="21" customWidth="1"/>
    <col min="12545" max="12545" width="33.21875" style="21" customWidth="1"/>
    <col min="12546" max="12546" width="9.109375" style="21"/>
    <col min="12547" max="12547" width="9.5546875" style="21" bestFit="1" customWidth="1"/>
    <col min="12548" max="12550" width="9.109375" style="21"/>
    <col min="12551" max="12551" width="10.33203125" style="21" customWidth="1"/>
    <col min="12552" max="12552" width="7" style="21" customWidth="1"/>
    <col min="12553" max="12554" width="9.109375" style="21"/>
    <col min="12555" max="12555" width="6.5546875" style="21" customWidth="1"/>
    <col min="12556" max="12799" width="9.109375" style="21"/>
    <col min="12800" max="12800" width="3.6640625" style="21" customWidth="1"/>
    <col min="12801" max="12801" width="33.21875" style="21" customWidth="1"/>
    <col min="12802" max="12802" width="9.109375" style="21"/>
    <col min="12803" max="12803" width="9.5546875" style="21" bestFit="1" customWidth="1"/>
    <col min="12804" max="12806" width="9.109375" style="21"/>
    <col min="12807" max="12807" width="10.33203125" style="21" customWidth="1"/>
    <col min="12808" max="12808" width="7" style="21" customWidth="1"/>
    <col min="12809" max="12810" width="9.109375" style="21"/>
    <col min="12811" max="12811" width="6.5546875" style="21" customWidth="1"/>
    <col min="12812" max="13055" width="9.109375" style="21"/>
    <col min="13056" max="13056" width="3.6640625" style="21" customWidth="1"/>
    <col min="13057" max="13057" width="33.21875" style="21" customWidth="1"/>
    <col min="13058" max="13058" width="9.109375" style="21"/>
    <col min="13059" max="13059" width="9.5546875" style="21" bestFit="1" customWidth="1"/>
    <col min="13060" max="13062" width="9.109375" style="21"/>
    <col min="13063" max="13063" width="10.33203125" style="21" customWidth="1"/>
    <col min="13064" max="13064" width="7" style="21" customWidth="1"/>
    <col min="13065" max="13066" width="9.109375" style="21"/>
    <col min="13067" max="13067" width="6.5546875" style="21" customWidth="1"/>
    <col min="13068" max="13311" width="9.109375" style="21"/>
    <col min="13312" max="13312" width="3.6640625" style="21" customWidth="1"/>
    <col min="13313" max="13313" width="33.21875" style="21" customWidth="1"/>
    <col min="13314" max="13314" width="9.109375" style="21"/>
    <col min="13315" max="13315" width="9.5546875" style="21" bestFit="1" customWidth="1"/>
    <col min="13316" max="13318" width="9.109375" style="21"/>
    <col min="13319" max="13319" width="10.33203125" style="21" customWidth="1"/>
    <col min="13320" max="13320" width="7" style="21" customWidth="1"/>
    <col min="13321" max="13322" width="9.109375" style="21"/>
    <col min="13323" max="13323" width="6.5546875" style="21" customWidth="1"/>
    <col min="13324" max="13567" width="9.109375" style="21"/>
    <col min="13568" max="13568" width="3.6640625" style="21" customWidth="1"/>
    <col min="13569" max="13569" width="33.21875" style="21" customWidth="1"/>
    <col min="13570" max="13570" width="9.109375" style="21"/>
    <col min="13571" max="13571" width="9.5546875" style="21" bestFit="1" customWidth="1"/>
    <col min="13572" max="13574" width="9.109375" style="21"/>
    <col min="13575" max="13575" width="10.33203125" style="21" customWidth="1"/>
    <col min="13576" max="13576" width="7" style="21" customWidth="1"/>
    <col min="13577" max="13578" width="9.109375" style="21"/>
    <col min="13579" max="13579" width="6.5546875" style="21" customWidth="1"/>
    <col min="13580" max="13823" width="9.109375" style="21"/>
    <col min="13824" max="13824" width="3.6640625" style="21" customWidth="1"/>
    <col min="13825" max="13825" width="33.21875" style="21" customWidth="1"/>
    <col min="13826" max="13826" width="9.109375" style="21"/>
    <col min="13827" max="13827" width="9.5546875" style="21" bestFit="1" customWidth="1"/>
    <col min="13828" max="13830" width="9.109375" style="21"/>
    <col min="13831" max="13831" width="10.33203125" style="21" customWidth="1"/>
    <col min="13832" max="13832" width="7" style="21" customWidth="1"/>
    <col min="13833" max="13834" width="9.109375" style="21"/>
    <col min="13835" max="13835" width="6.5546875" style="21" customWidth="1"/>
    <col min="13836" max="14079" width="9.109375" style="21"/>
    <col min="14080" max="14080" width="3.6640625" style="21" customWidth="1"/>
    <col min="14081" max="14081" width="33.21875" style="21" customWidth="1"/>
    <col min="14082" max="14082" width="9.109375" style="21"/>
    <col min="14083" max="14083" width="9.5546875" style="21" bestFit="1" customWidth="1"/>
    <col min="14084" max="14086" width="9.109375" style="21"/>
    <col min="14087" max="14087" width="10.33203125" style="21" customWidth="1"/>
    <col min="14088" max="14088" width="7" style="21" customWidth="1"/>
    <col min="14089" max="14090" width="9.109375" style="21"/>
    <col min="14091" max="14091" width="6.5546875" style="21" customWidth="1"/>
    <col min="14092" max="14335" width="9.109375" style="21"/>
    <col min="14336" max="14336" width="3.6640625" style="21" customWidth="1"/>
    <col min="14337" max="14337" width="33.21875" style="21" customWidth="1"/>
    <col min="14338" max="14338" width="9.109375" style="21"/>
    <col min="14339" max="14339" width="9.5546875" style="21" bestFit="1" customWidth="1"/>
    <col min="14340" max="14342" width="9.109375" style="21"/>
    <col min="14343" max="14343" width="10.33203125" style="21" customWidth="1"/>
    <col min="14344" max="14344" width="7" style="21" customWidth="1"/>
    <col min="14345" max="14346" width="9.109375" style="21"/>
    <col min="14347" max="14347" width="6.5546875" style="21" customWidth="1"/>
    <col min="14348" max="14591" width="9.109375" style="21"/>
    <col min="14592" max="14592" width="3.6640625" style="21" customWidth="1"/>
    <col min="14593" max="14593" width="33.21875" style="21" customWidth="1"/>
    <col min="14594" max="14594" width="9.109375" style="21"/>
    <col min="14595" max="14595" width="9.5546875" style="21" bestFit="1" customWidth="1"/>
    <col min="14596" max="14598" width="9.109375" style="21"/>
    <col min="14599" max="14599" width="10.33203125" style="21" customWidth="1"/>
    <col min="14600" max="14600" width="7" style="21" customWidth="1"/>
    <col min="14601" max="14602" width="9.109375" style="21"/>
    <col min="14603" max="14603" width="6.5546875" style="21" customWidth="1"/>
    <col min="14604" max="14847" width="9.109375" style="21"/>
    <col min="14848" max="14848" width="3.6640625" style="21" customWidth="1"/>
    <col min="14849" max="14849" width="33.21875" style="21" customWidth="1"/>
    <col min="14850" max="14850" width="9.109375" style="21"/>
    <col min="14851" max="14851" width="9.5546875" style="21" bestFit="1" customWidth="1"/>
    <col min="14852" max="14854" width="9.109375" style="21"/>
    <col min="14855" max="14855" width="10.33203125" style="21" customWidth="1"/>
    <col min="14856" max="14856" width="7" style="21" customWidth="1"/>
    <col min="14857" max="14858" width="9.109375" style="21"/>
    <col min="14859" max="14859" width="6.5546875" style="21" customWidth="1"/>
    <col min="14860" max="15103" width="9.109375" style="21"/>
    <col min="15104" max="15104" width="3.6640625" style="21" customWidth="1"/>
    <col min="15105" max="15105" width="33.21875" style="21" customWidth="1"/>
    <col min="15106" max="15106" width="9.109375" style="21"/>
    <col min="15107" max="15107" width="9.5546875" style="21" bestFit="1" customWidth="1"/>
    <col min="15108" max="15110" width="9.109375" style="21"/>
    <col min="15111" max="15111" width="10.33203125" style="21" customWidth="1"/>
    <col min="15112" max="15112" width="7" style="21" customWidth="1"/>
    <col min="15113" max="15114" width="9.109375" style="21"/>
    <col min="15115" max="15115" width="6.5546875" style="21" customWidth="1"/>
    <col min="15116" max="15359" width="9.109375" style="21"/>
    <col min="15360" max="15360" width="3.6640625" style="21" customWidth="1"/>
    <col min="15361" max="15361" width="33.21875" style="21" customWidth="1"/>
    <col min="15362" max="15362" width="9.109375" style="21"/>
    <col min="15363" max="15363" width="9.5546875" style="21" bestFit="1" customWidth="1"/>
    <col min="15364" max="15366" width="9.109375" style="21"/>
    <col min="15367" max="15367" width="10.33203125" style="21" customWidth="1"/>
    <col min="15368" max="15368" width="7" style="21" customWidth="1"/>
    <col min="15369" max="15370" width="9.109375" style="21"/>
    <col min="15371" max="15371" width="6.5546875" style="21" customWidth="1"/>
    <col min="15372" max="15615" width="9.109375" style="21"/>
    <col min="15616" max="15616" width="3.6640625" style="21" customWidth="1"/>
    <col min="15617" max="15617" width="33.21875" style="21" customWidth="1"/>
    <col min="15618" max="15618" width="9.109375" style="21"/>
    <col min="15619" max="15619" width="9.5546875" style="21" bestFit="1" customWidth="1"/>
    <col min="15620" max="15622" width="9.109375" style="21"/>
    <col min="15623" max="15623" width="10.33203125" style="21" customWidth="1"/>
    <col min="15624" max="15624" width="7" style="21" customWidth="1"/>
    <col min="15625" max="15626" width="9.109375" style="21"/>
    <col min="15627" max="15627" width="6.5546875" style="21" customWidth="1"/>
    <col min="15628" max="15871" width="9.109375" style="21"/>
    <col min="15872" max="15872" width="3.6640625" style="21" customWidth="1"/>
    <col min="15873" max="15873" width="33.21875" style="21" customWidth="1"/>
    <col min="15874" max="15874" width="9.109375" style="21"/>
    <col min="15875" max="15875" width="9.5546875" style="21" bestFit="1" customWidth="1"/>
    <col min="15876" max="15878" width="9.109375" style="21"/>
    <col min="15879" max="15879" width="10.33203125" style="21" customWidth="1"/>
    <col min="15880" max="15880" width="7" style="21" customWidth="1"/>
    <col min="15881" max="15882" width="9.109375" style="21"/>
    <col min="15883" max="15883" width="6.5546875" style="21" customWidth="1"/>
    <col min="15884" max="16127" width="9.109375" style="21"/>
    <col min="16128" max="16128" width="3.6640625" style="21" customWidth="1"/>
    <col min="16129" max="16129" width="33.21875" style="21" customWidth="1"/>
    <col min="16130" max="16130" width="9.109375" style="21"/>
    <col min="16131" max="16131" width="9.5546875" style="21" bestFit="1" customWidth="1"/>
    <col min="16132" max="16134" width="9.109375" style="21"/>
    <col min="16135" max="16135" width="10.33203125" style="21" customWidth="1"/>
    <col min="16136" max="16136" width="7" style="21" customWidth="1"/>
    <col min="16137" max="16138" width="9.109375" style="21"/>
    <col min="16139" max="16139" width="6.5546875" style="21" customWidth="1"/>
    <col min="16140" max="16384" width="9.109375" style="21"/>
  </cols>
  <sheetData>
    <row r="2" spans="2:14" ht="14.4" thickBot="1">
      <c r="B2" s="305" t="s">
        <v>221</v>
      </c>
      <c r="G2" s="281"/>
    </row>
    <row r="3" spans="2:14" ht="10.8" thickBot="1">
      <c r="B3" s="282" t="s">
        <v>2</v>
      </c>
      <c r="D3" s="283">
        <f>'Flowsheet Balance'!P31</f>
        <v>2.7</v>
      </c>
      <c r="E3" s="284" t="s">
        <v>184</v>
      </c>
      <c r="F3" s="285"/>
      <c r="G3" s="285"/>
    </row>
    <row r="4" spans="2:14" ht="10.8" thickBot="1">
      <c r="B4" s="282" t="s">
        <v>3</v>
      </c>
      <c r="D4" s="286">
        <f>'Flowsheet Balance'!P33</f>
        <v>169.17582881479692</v>
      </c>
      <c r="E4" s="72" t="s">
        <v>39</v>
      </c>
      <c r="F4" s="287" t="s">
        <v>188</v>
      </c>
      <c r="G4" s="287" t="s">
        <v>59</v>
      </c>
      <c r="H4" s="213" t="s">
        <v>57</v>
      </c>
      <c r="I4" s="213" t="s">
        <v>36</v>
      </c>
      <c r="J4" s="202" t="s">
        <v>167</v>
      </c>
      <c r="K4" s="202" t="s">
        <v>168</v>
      </c>
      <c r="L4" s="202" t="s">
        <v>169</v>
      </c>
      <c r="M4" s="202" t="s">
        <v>170</v>
      </c>
      <c r="N4" s="200" t="s">
        <v>171</v>
      </c>
    </row>
    <row r="5" spans="2:14">
      <c r="B5" s="288" t="s">
        <v>9</v>
      </c>
      <c r="D5" s="286">
        <f>'Flowsheet Balance'!P39</f>
        <v>1781.666348848426</v>
      </c>
      <c r="E5" s="23">
        <f>'Flowsheet Balance'!B42</f>
        <v>4760</v>
      </c>
      <c r="F5" s="283">
        <f>E5/1000</f>
        <v>4.76</v>
      </c>
      <c r="G5" s="289">
        <f>F5/25.4</f>
        <v>0.18740157480314962</v>
      </c>
      <c r="H5" s="283">
        <f>'Flowsheet Balance'!P42</f>
        <v>0</v>
      </c>
      <c r="I5" s="290">
        <f t="shared" ref="I5:I15" si="0">H5/H$16</f>
        <v>0</v>
      </c>
      <c r="J5" s="200">
        <f>IF(OR(F5&gt;F$18,F5&lt;F$20),IF(F5&gt;F$18,1,0),IF(F5=F$19,G$19,G$18))</f>
        <v>1</v>
      </c>
      <c r="K5" s="200">
        <f>H5*J5</f>
        <v>0</v>
      </c>
      <c r="L5" s="200">
        <f t="shared" ref="L5:L15" si="1">K5/K$16</f>
        <v>0</v>
      </c>
      <c r="M5" s="200">
        <f>H5-K5</f>
        <v>0</v>
      </c>
      <c r="N5" s="200">
        <f t="shared" ref="N5:N15" si="2">M5/M$16</f>
        <v>0</v>
      </c>
    </row>
    <row r="6" spans="2:14">
      <c r="B6" s="282" t="s">
        <v>191</v>
      </c>
      <c r="C6" s="291" t="s">
        <v>192</v>
      </c>
      <c r="D6" s="283">
        <v>3</v>
      </c>
      <c r="E6" s="23">
        <f>'Flowsheet Balance'!B43</f>
        <v>2380</v>
      </c>
      <c r="F6" s="283">
        <f t="shared" ref="F6:F15" si="3">E6/1000</f>
        <v>2.38</v>
      </c>
      <c r="G6" s="289">
        <f t="shared" ref="G6:G15" si="4">F6/25.4</f>
        <v>9.3700787401574809E-2</v>
      </c>
      <c r="H6" s="283">
        <f>'Flowsheet Balance'!P43</f>
        <v>0</v>
      </c>
      <c r="I6" s="290">
        <f t="shared" si="0"/>
        <v>0</v>
      </c>
      <c r="J6" s="200">
        <f t="shared" ref="J6:J15" si="5">IF(OR(F6&gt;F$18,F6&lt;F$20),IF(F6&gt;F$18,1,0),IF(F6=F$19,G$19,G$18))</f>
        <v>1</v>
      </c>
      <c r="K6" s="200">
        <f t="shared" ref="K6:K15" si="6">H6*J6</f>
        <v>0</v>
      </c>
      <c r="L6" s="200">
        <f t="shared" si="1"/>
        <v>0</v>
      </c>
      <c r="M6" s="200">
        <f t="shared" ref="M6:M15" si="7">H6-K6</f>
        <v>0</v>
      </c>
      <c r="N6" s="200">
        <f t="shared" si="2"/>
        <v>0</v>
      </c>
    </row>
    <row r="7" spans="2:14" ht="11.4">
      <c r="B7" s="282" t="s">
        <v>193</v>
      </c>
      <c r="C7" s="291" t="s">
        <v>206</v>
      </c>
      <c r="D7" s="306">
        <f>PI()*(D6/2)^2</f>
        <v>7.0685834705770345</v>
      </c>
      <c r="E7" s="23">
        <f>'Flowsheet Balance'!B44</f>
        <v>1190</v>
      </c>
      <c r="F7" s="283">
        <f t="shared" si="3"/>
        <v>1.19</v>
      </c>
      <c r="G7" s="289">
        <f t="shared" si="4"/>
        <v>4.6850393700787404E-2</v>
      </c>
      <c r="H7" s="283">
        <f>'Flowsheet Balance'!P44</f>
        <v>94.203825475534117</v>
      </c>
      <c r="I7" s="290">
        <f t="shared" si="0"/>
        <v>0.5568397455801003</v>
      </c>
      <c r="J7" s="200">
        <f t="shared" si="5"/>
        <v>0.75</v>
      </c>
      <c r="K7" s="200">
        <f t="shared" si="6"/>
        <v>70.652869106650584</v>
      </c>
      <c r="L7" s="200">
        <f t="shared" si="1"/>
        <v>0.78816732639367737</v>
      </c>
      <c r="M7" s="200">
        <f t="shared" si="7"/>
        <v>23.550956368883533</v>
      </c>
      <c r="N7" s="200">
        <f t="shared" si="2"/>
        <v>0.29611231867279753</v>
      </c>
    </row>
    <row r="8" spans="2:14">
      <c r="B8" s="282" t="s">
        <v>191</v>
      </c>
      <c r="C8" s="291" t="s">
        <v>194</v>
      </c>
      <c r="D8" s="283">
        <f>D6*3.28084</f>
        <v>9.8425200000000004</v>
      </c>
      <c r="E8" s="23">
        <f>'Flowsheet Balance'!B45</f>
        <v>595</v>
      </c>
      <c r="F8" s="283">
        <f t="shared" si="3"/>
        <v>0.59499999999999997</v>
      </c>
      <c r="G8" s="289">
        <f t="shared" si="4"/>
        <v>2.3425196850393702E-2</v>
      </c>
      <c r="H8" s="283">
        <f>'Flowsheet Balance'!P45</f>
        <v>37.978194882297799</v>
      </c>
      <c r="I8" s="290">
        <f t="shared" si="0"/>
        <v>0.22448948616574502</v>
      </c>
      <c r="J8" s="200">
        <f t="shared" si="5"/>
        <v>0.5</v>
      </c>
      <c r="K8" s="200">
        <f t="shared" si="6"/>
        <v>18.9890974411489</v>
      </c>
      <c r="L8" s="200">
        <f t="shared" si="1"/>
        <v>0.21183267360632263</v>
      </c>
      <c r="M8" s="200">
        <f t="shared" si="7"/>
        <v>18.9890974411489</v>
      </c>
      <c r="N8" s="200">
        <f t="shared" si="2"/>
        <v>0.23875487622368893</v>
      </c>
    </row>
    <row r="9" spans="2:14" ht="11.4">
      <c r="B9" s="282" t="s">
        <v>193</v>
      </c>
      <c r="C9" s="291" t="s">
        <v>207</v>
      </c>
      <c r="D9" s="306">
        <f>PI()*(D8/2)^2</f>
        <v>76.085604119804728</v>
      </c>
      <c r="E9" s="23">
        <f>'Flowsheet Balance'!B46</f>
        <v>297</v>
      </c>
      <c r="F9" s="283">
        <f t="shared" si="3"/>
        <v>0.29699999999999999</v>
      </c>
      <c r="G9" s="289">
        <f t="shared" si="4"/>
        <v>1.1692913385826773E-2</v>
      </c>
      <c r="H9" s="283">
        <f>'Flowsheet Balance'!P46</f>
        <v>19.608650622266875</v>
      </c>
      <c r="I9" s="290">
        <f t="shared" si="0"/>
        <v>0.11590692807382783</v>
      </c>
      <c r="J9" s="200">
        <f t="shared" si="5"/>
        <v>0</v>
      </c>
      <c r="K9" s="200">
        <f t="shared" si="6"/>
        <v>0</v>
      </c>
      <c r="L9" s="200">
        <f t="shared" si="1"/>
        <v>0</v>
      </c>
      <c r="M9" s="200">
        <f t="shared" si="7"/>
        <v>19.608650622266875</v>
      </c>
      <c r="N9" s="200">
        <f t="shared" si="2"/>
        <v>0.24654468000610955</v>
      </c>
    </row>
    <row r="10" spans="2:14">
      <c r="B10" s="282" t="s">
        <v>115</v>
      </c>
      <c r="C10" s="291" t="s">
        <v>114</v>
      </c>
      <c r="D10" s="292">
        <v>0.28079999999999999</v>
      </c>
      <c r="E10" s="23">
        <f>'Flowsheet Balance'!B47</f>
        <v>149</v>
      </c>
      <c r="F10" s="283">
        <f t="shared" si="3"/>
        <v>0.14899999999999999</v>
      </c>
      <c r="G10" s="289">
        <f t="shared" si="4"/>
        <v>5.8661417322834648E-3</v>
      </c>
      <c r="H10" s="283">
        <f>'Flowsheet Balance'!P47</f>
        <v>12.353158455285895</v>
      </c>
      <c r="I10" s="290">
        <f t="shared" si="0"/>
        <v>7.3019642001041163E-2</v>
      </c>
      <c r="J10" s="200">
        <f t="shared" si="5"/>
        <v>0</v>
      </c>
      <c r="K10" s="200">
        <f t="shared" si="6"/>
        <v>0</v>
      </c>
      <c r="L10" s="200">
        <f t="shared" si="1"/>
        <v>0</v>
      </c>
      <c r="M10" s="200">
        <f t="shared" si="7"/>
        <v>12.353158455285895</v>
      </c>
      <c r="N10" s="200">
        <f t="shared" si="2"/>
        <v>0.15531948409365548</v>
      </c>
    </row>
    <row r="11" spans="2:14">
      <c r="B11" s="282" t="s">
        <v>2</v>
      </c>
      <c r="C11" s="291" t="s">
        <v>117</v>
      </c>
      <c r="D11" s="283">
        <v>2.7</v>
      </c>
      <c r="E11" s="23">
        <f>'Flowsheet Balance'!B48</f>
        <v>74</v>
      </c>
      <c r="F11" s="283">
        <f t="shared" si="3"/>
        <v>7.3999999999999996E-2</v>
      </c>
      <c r="G11" s="289">
        <f t="shared" si="4"/>
        <v>2.9133858267716534E-3</v>
      </c>
      <c r="H11" s="283">
        <f>'Flowsheet Balance'!P48</f>
        <v>4.5427097288549838</v>
      </c>
      <c r="I11" s="290">
        <f t="shared" si="0"/>
        <v>2.6852002207880758E-2</v>
      </c>
      <c r="J11" s="200">
        <f t="shared" si="5"/>
        <v>0</v>
      </c>
      <c r="K11" s="200">
        <f t="shared" si="6"/>
        <v>0</v>
      </c>
      <c r="L11" s="200">
        <f t="shared" si="1"/>
        <v>0</v>
      </c>
      <c r="M11" s="200">
        <f t="shared" si="7"/>
        <v>4.5427097288549838</v>
      </c>
      <c r="N11" s="200">
        <f t="shared" si="2"/>
        <v>5.7116674575729484E-2</v>
      </c>
    </row>
    <row r="12" spans="2:14">
      <c r="B12" s="282" t="s">
        <v>195</v>
      </c>
      <c r="C12" s="291" t="s">
        <v>116</v>
      </c>
      <c r="D12" s="309">
        <f>(D11)/(D11+D10-D11*D10)</f>
        <v>1.2147716229348882</v>
      </c>
      <c r="E12" s="23">
        <f>'Flowsheet Balance'!B49</f>
        <v>0</v>
      </c>
      <c r="F12" s="283">
        <f t="shared" si="3"/>
        <v>0</v>
      </c>
      <c r="G12" s="289">
        <f t="shared" si="4"/>
        <v>0</v>
      </c>
      <c r="H12" s="283">
        <f>'Flowsheet Balance'!P49</f>
        <v>0.48928965055724766</v>
      </c>
      <c r="I12" s="290">
        <f t="shared" si="0"/>
        <v>2.8921959714049415E-3</v>
      </c>
      <c r="J12" s="200">
        <f t="shared" si="5"/>
        <v>0</v>
      </c>
      <c r="K12" s="200">
        <f t="shared" si="6"/>
        <v>0</v>
      </c>
      <c r="L12" s="200">
        <f t="shared" si="1"/>
        <v>0</v>
      </c>
      <c r="M12" s="200">
        <f t="shared" si="7"/>
        <v>0.48928965055724766</v>
      </c>
      <c r="N12" s="200">
        <f t="shared" si="2"/>
        <v>6.1519664280189025E-3</v>
      </c>
    </row>
    <row r="13" spans="2:14">
      <c r="B13" s="282" t="s">
        <v>196</v>
      </c>
      <c r="C13" s="291" t="s">
        <v>113</v>
      </c>
      <c r="D13" s="307">
        <f>(D12-1)/(D11-1)</f>
        <v>0.12633624878522831</v>
      </c>
      <c r="E13" s="23">
        <f>'Flowsheet Balance'!B50</f>
        <v>0</v>
      </c>
      <c r="F13" s="283">
        <f t="shared" si="3"/>
        <v>0</v>
      </c>
      <c r="G13" s="289">
        <f t="shared" si="4"/>
        <v>0</v>
      </c>
      <c r="H13" s="283">
        <f>'Flowsheet Balance'!P50</f>
        <v>0</v>
      </c>
      <c r="I13" s="290">
        <f t="shared" si="0"/>
        <v>0</v>
      </c>
      <c r="J13" s="200">
        <f t="shared" si="5"/>
        <v>0</v>
      </c>
      <c r="K13" s="200">
        <f t="shared" si="6"/>
        <v>0</v>
      </c>
      <c r="L13" s="200">
        <f t="shared" si="1"/>
        <v>0</v>
      </c>
      <c r="M13" s="200">
        <f t="shared" si="7"/>
        <v>0</v>
      </c>
      <c r="N13" s="200">
        <f t="shared" si="2"/>
        <v>0</v>
      </c>
    </row>
    <row r="14" spans="2:14">
      <c r="B14" s="282" t="s">
        <v>197</v>
      </c>
      <c r="C14" s="291"/>
      <c r="D14" s="307">
        <f>IF((((5000)^(1/2.5))*D10)/(((5000)^(1/2.5))-1)&gt;0.5,0.5,(((5000)^(1/2.5))*D10)/(((5000)^(1/2.5))-1))</f>
        <v>0.29042603746619977</v>
      </c>
      <c r="E14" s="23">
        <f>'Flowsheet Balance'!B51</f>
        <v>0</v>
      </c>
      <c r="F14" s="283">
        <f t="shared" si="3"/>
        <v>0</v>
      </c>
      <c r="G14" s="289">
        <f t="shared" si="4"/>
        <v>0</v>
      </c>
      <c r="H14" s="283">
        <f>'Flowsheet Balance'!P51</f>
        <v>0</v>
      </c>
      <c r="I14" s="290">
        <f t="shared" si="0"/>
        <v>0</v>
      </c>
      <c r="J14" s="200">
        <f t="shared" si="5"/>
        <v>0</v>
      </c>
      <c r="K14" s="200">
        <f t="shared" si="6"/>
        <v>0</v>
      </c>
      <c r="L14" s="200">
        <f t="shared" si="1"/>
        <v>0</v>
      </c>
      <c r="M14" s="200">
        <f t="shared" si="7"/>
        <v>0</v>
      </c>
      <c r="N14" s="200">
        <f t="shared" si="2"/>
        <v>0</v>
      </c>
    </row>
    <row r="15" spans="2:14" ht="10.8" thickBot="1">
      <c r="B15" s="282" t="s">
        <v>110</v>
      </c>
      <c r="C15" s="291" t="s">
        <v>109</v>
      </c>
      <c r="D15" s="308">
        <f>IF(D13&gt;D14,5000,IF((D14/(D14-D13))^2.5&gt;5000,5000,(D14/(D14-D13))^2.5))</f>
        <v>4.1675899711305178</v>
      </c>
      <c r="E15" s="23">
        <f>'Flowsheet Balance'!B52</f>
        <v>0</v>
      </c>
      <c r="F15" s="283">
        <f t="shared" si="3"/>
        <v>0</v>
      </c>
      <c r="G15" s="289">
        <f t="shared" si="4"/>
        <v>0</v>
      </c>
      <c r="H15" s="283">
        <f>'Flowsheet Balance'!P52</f>
        <v>0</v>
      </c>
      <c r="I15" s="293">
        <f t="shared" si="0"/>
        <v>0</v>
      </c>
      <c r="J15" s="200">
        <f t="shared" si="5"/>
        <v>0</v>
      </c>
      <c r="K15" s="200">
        <f t="shared" si="6"/>
        <v>0</v>
      </c>
      <c r="L15" s="200">
        <f t="shared" si="1"/>
        <v>0</v>
      </c>
      <c r="M15" s="200">
        <f t="shared" si="7"/>
        <v>0</v>
      </c>
      <c r="N15" s="200">
        <f t="shared" si="2"/>
        <v>0</v>
      </c>
    </row>
    <row r="16" spans="2:14" ht="10.8" thickBot="1">
      <c r="B16" s="282" t="s">
        <v>112</v>
      </c>
      <c r="C16" s="291" t="s">
        <v>111</v>
      </c>
      <c r="D16" s="308">
        <f>D15/D12</f>
        <v>3.4307600642346423</v>
      </c>
      <c r="H16" s="204">
        <f>SUM(H5:H15)</f>
        <v>169.17582881479692</v>
      </c>
      <c r="J16" s="205"/>
      <c r="K16" s="204">
        <f>SUM(K5:K15)</f>
        <v>89.641966547799484</v>
      </c>
      <c r="L16" s="202"/>
      <c r="M16" s="204">
        <f>SUM(M5:M15)</f>
        <v>79.533862266997446</v>
      </c>
      <c r="N16" s="200"/>
    </row>
    <row r="17" spans="3:18">
      <c r="E17" s="200"/>
      <c r="F17" s="200"/>
      <c r="G17" s="200">
        <v>1</v>
      </c>
    </row>
    <row r="18" spans="3:18">
      <c r="E18" s="200" t="s">
        <v>162</v>
      </c>
      <c r="F18" s="200">
        <f>F7</f>
        <v>1.19</v>
      </c>
      <c r="G18" s="200">
        <v>0.75</v>
      </c>
      <c r="N18" s="104"/>
      <c r="O18" s="104"/>
      <c r="P18" s="104"/>
      <c r="Q18" s="104"/>
      <c r="R18" s="184"/>
    </row>
    <row r="19" spans="3:18">
      <c r="E19" s="200" t="s">
        <v>164</v>
      </c>
      <c r="F19" s="200">
        <f>F8</f>
        <v>0.59499999999999997</v>
      </c>
      <c r="G19" s="200">
        <v>0.5</v>
      </c>
      <c r="N19" s="184"/>
      <c r="O19" s="294"/>
      <c r="P19" s="104"/>
      <c r="Q19" s="104"/>
      <c r="R19" s="294"/>
    </row>
    <row r="20" spans="3:18">
      <c r="E20" s="200" t="s">
        <v>166</v>
      </c>
      <c r="F20" s="200">
        <f>F19/2</f>
        <v>0.29749999999999999</v>
      </c>
      <c r="G20" s="200">
        <v>0.75</v>
      </c>
      <c r="N20" s="184"/>
      <c r="O20" s="294"/>
      <c r="P20" s="104"/>
      <c r="Q20" s="104"/>
      <c r="R20" s="294"/>
    </row>
    <row r="21" spans="3:18">
      <c r="E21" s="200"/>
      <c r="F21" s="200"/>
      <c r="G21" s="200">
        <v>1</v>
      </c>
      <c r="O21" s="294"/>
      <c r="P21" s="104"/>
    </row>
    <row r="22" spans="3:18" ht="20.399999999999999">
      <c r="D22" s="291" t="s">
        <v>189</v>
      </c>
      <c r="E22" s="295" t="s">
        <v>182</v>
      </c>
      <c r="F22" s="295" t="s">
        <v>183</v>
      </c>
      <c r="G22" s="296" t="s">
        <v>187</v>
      </c>
    </row>
    <row r="23" spans="3:18">
      <c r="D23" s="297" t="s">
        <v>39</v>
      </c>
      <c r="E23" s="282" t="s">
        <v>185</v>
      </c>
      <c r="F23" s="282" t="s">
        <v>186</v>
      </c>
      <c r="G23" s="291" t="s">
        <v>190</v>
      </c>
      <c r="L23" s="184"/>
    </row>
    <row r="24" spans="3:18">
      <c r="D24" s="298">
        <f>E5</f>
        <v>4760</v>
      </c>
      <c r="E24" s="299">
        <f t="shared" ref="E24:E30" si="8">8.39*((1+((0.0103*((1-D$13)^4.66)*9810)/D$16^2)*F5^3*(D$11-1))^0.5-1)*D$16/F5</f>
        <v>169.19322819400449</v>
      </c>
      <c r="F24" s="300">
        <f t="shared" ref="F24:F30" si="9">F5/(12*25.4)</f>
        <v>1.5616797900262469E-2</v>
      </c>
      <c r="G24" s="301">
        <f t="shared" ref="G24:G30" si="10">E24*D$9</f>
        <v>12873.16898012081</v>
      </c>
    </row>
    <row r="25" spans="3:18">
      <c r="D25" s="298">
        <f t="shared" ref="D25:D34" si="11">E6</f>
        <v>2380</v>
      </c>
      <c r="E25" s="299">
        <f t="shared" si="8"/>
        <v>112.33481303334005</v>
      </c>
      <c r="F25" s="300">
        <f t="shared" si="9"/>
        <v>7.8083989501312344E-3</v>
      </c>
      <c r="G25" s="301">
        <f t="shared" si="10"/>
        <v>8547.0621133269924</v>
      </c>
      <c r="K25" s="302"/>
    </row>
    <row r="26" spans="3:18">
      <c r="D26" s="298">
        <f t="shared" si="11"/>
        <v>1190</v>
      </c>
      <c r="E26" s="299">
        <f t="shared" si="8"/>
        <v>66.658951194047148</v>
      </c>
      <c r="F26" s="300">
        <f t="shared" si="9"/>
        <v>3.9041994750656172E-3</v>
      </c>
      <c r="G26" s="301">
        <f t="shared" si="10"/>
        <v>5071.786571591656</v>
      </c>
    </row>
    <row r="27" spans="3:18">
      <c r="C27" s="304"/>
      <c r="D27" s="298">
        <f t="shared" si="11"/>
        <v>595</v>
      </c>
      <c r="E27" s="299">
        <f t="shared" si="8"/>
        <v>30.200559700836784</v>
      </c>
      <c r="F27" s="300">
        <f t="shared" si="9"/>
        <v>1.9520997375328086E-3</v>
      </c>
      <c r="G27" s="301">
        <f t="shared" si="10"/>
        <v>2297.827829594396</v>
      </c>
    </row>
    <row r="28" spans="3:18">
      <c r="C28" s="304"/>
      <c r="D28" s="298">
        <f t="shared" si="11"/>
        <v>297</v>
      </c>
      <c r="E28" s="299">
        <f t="shared" si="8"/>
        <v>9.4161440566585703</v>
      </c>
      <c r="F28" s="300">
        <f t="shared" si="9"/>
        <v>9.7440944881889771E-4</v>
      </c>
      <c r="G28" s="301">
        <f t="shared" si="10"/>
        <v>716.43300902997612</v>
      </c>
    </row>
    <row r="29" spans="3:18">
      <c r="C29" s="304"/>
      <c r="D29" s="298">
        <f t="shared" si="11"/>
        <v>149</v>
      </c>
      <c r="E29" s="299">
        <f t="shared" si="8"/>
        <v>2.4692614037554503</v>
      </c>
      <c r="F29" s="300">
        <f t="shared" si="9"/>
        <v>4.8884514435695544E-4</v>
      </c>
      <c r="G29" s="301">
        <f t="shared" si="10"/>
        <v>187.87524563445049</v>
      </c>
    </row>
    <row r="30" spans="3:18">
      <c r="C30" s="304"/>
      <c r="D30" s="298">
        <f t="shared" si="11"/>
        <v>74</v>
      </c>
      <c r="E30" s="299">
        <f t="shared" si="8"/>
        <v>0.61246736122936551</v>
      </c>
      <c r="F30" s="300">
        <f t="shared" si="9"/>
        <v>2.4278215223097116E-4</v>
      </c>
      <c r="G30" s="301">
        <f t="shared" si="10"/>
        <v>46.599949182798944</v>
      </c>
    </row>
    <row r="31" spans="3:18">
      <c r="C31" s="304"/>
      <c r="D31" s="298">
        <f t="shared" si="11"/>
        <v>0</v>
      </c>
      <c r="E31" s="299"/>
      <c r="F31" s="282"/>
      <c r="G31" s="282"/>
    </row>
    <row r="32" spans="3:18">
      <c r="C32" s="304"/>
      <c r="D32" s="298">
        <f t="shared" si="11"/>
        <v>0</v>
      </c>
      <c r="E32" s="299"/>
      <c r="F32" s="282"/>
      <c r="G32" s="282"/>
    </row>
    <row r="33" spans="3:7">
      <c r="C33" s="304"/>
      <c r="D33" s="298">
        <f t="shared" si="11"/>
        <v>0</v>
      </c>
      <c r="E33" s="282"/>
      <c r="F33" s="282"/>
      <c r="G33" s="282"/>
    </row>
    <row r="34" spans="3:7">
      <c r="C34" s="304"/>
      <c r="D34" s="298">
        <f t="shared" si="11"/>
        <v>0</v>
      </c>
      <c r="E34" s="282"/>
      <c r="F34" s="282"/>
      <c r="G34" s="282"/>
    </row>
    <row r="35" spans="3:7">
      <c r="C35" s="304"/>
      <c r="D35" s="281"/>
    </row>
    <row r="36" spans="3:7">
      <c r="C36" s="304"/>
      <c r="D36" s="281"/>
    </row>
    <row r="37" spans="3:7">
      <c r="C37" s="304"/>
      <c r="D37" s="281"/>
    </row>
    <row r="38" spans="3:7">
      <c r="C38" s="304"/>
      <c r="D38" s="281"/>
    </row>
    <row r="39" spans="3:7">
      <c r="C39" s="304"/>
      <c r="D39" s="281"/>
    </row>
    <row r="40" spans="3:7">
      <c r="C40" s="304"/>
      <c r="D40" s="281"/>
    </row>
    <row r="41" spans="3:7">
      <c r="C41" s="304"/>
      <c r="D41" s="281"/>
    </row>
    <row r="42" spans="3:7">
      <c r="C42" s="304"/>
      <c r="D42" s="281"/>
    </row>
    <row r="43" spans="3:7">
      <c r="C43" s="304"/>
      <c r="D43" s="281"/>
    </row>
    <row r="44" spans="3:7">
      <c r="C44" s="304"/>
      <c r="D44" s="281"/>
    </row>
    <row r="45" spans="3:7">
      <c r="C45" s="304"/>
      <c r="D45" s="281"/>
    </row>
    <row r="46" spans="3:7">
      <c r="C46" s="304"/>
      <c r="D46" s="281"/>
    </row>
    <row r="47" spans="3:7">
      <c r="C47" s="304"/>
      <c r="D47" s="281"/>
    </row>
    <row r="48" spans="3:7">
      <c r="C48" s="304"/>
      <c r="D48" s="28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6"/>
  <sheetViews>
    <sheetView workbookViewId="0">
      <selection activeCell="B1" sqref="B1:C2"/>
    </sheetView>
  </sheetViews>
  <sheetFormatPr defaultRowHeight="14.4"/>
  <cols>
    <col min="1" max="1" width="3.88671875" customWidth="1"/>
    <col min="2" max="4" width="7.5546875" customWidth="1"/>
    <col min="5" max="5" width="6.6640625" customWidth="1"/>
    <col min="6" max="6" width="2.33203125" customWidth="1"/>
    <col min="7" max="7" width="5.21875" customWidth="1"/>
    <col min="8" max="8" width="1.6640625" customWidth="1"/>
    <col min="9" max="9" width="5.77734375" customWidth="1"/>
    <col min="10" max="10" width="7.44140625" customWidth="1"/>
    <col min="11" max="11" width="8.88671875" customWidth="1"/>
    <col min="12" max="13" width="7" customWidth="1"/>
    <col min="14" max="14" width="8.88671875" customWidth="1"/>
    <col min="15" max="15" width="9.33203125" customWidth="1"/>
    <col min="16" max="17" width="7.5546875" customWidth="1"/>
    <col min="18" max="18" width="5.21875" customWidth="1"/>
    <col min="19" max="19" width="6.77734375" customWidth="1"/>
    <col min="249" max="249" width="3.88671875" customWidth="1"/>
    <col min="250" max="252" width="7.5546875" customWidth="1"/>
    <col min="253" max="253" width="6.6640625" customWidth="1"/>
    <col min="254" max="254" width="2.33203125" customWidth="1"/>
    <col min="255" max="255" width="8.88671875" customWidth="1"/>
    <col min="256" max="256" width="1.6640625" customWidth="1"/>
    <col min="257" max="261" width="8.88671875" customWidth="1"/>
    <col min="262" max="262" width="3.88671875" customWidth="1"/>
    <col min="263" max="263" width="8.88671875" customWidth="1"/>
    <col min="264" max="264" width="9.33203125" customWidth="1"/>
    <col min="265" max="266" width="7.5546875" customWidth="1"/>
    <col min="505" max="505" width="3.88671875" customWidth="1"/>
    <col min="506" max="508" width="7.5546875" customWidth="1"/>
    <col min="509" max="509" width="6.6640625" customWidth="1"/>
    <col min="510" max="510" width="2.33203125" customWidth="1"/>
    <col min="511" max="511" width="8.88671875" customWidth="1"/>
    <col min="512" max="512" width="1.6640625" customWidth="1"/>
    <col min="513" max="517" width="8.88671875" customWidth="1"/>
    <col min="518" max="518" width="3.88671875" customWidth="1"/>
    <col min="519" max="519" width="8.88671875" customWidth="1"/>
    <col min="520" max="520" width="9.33203125" customWidth="1"/>
    <col min="521" max="522" width="7.5546875" customWidth="1"/>
    <col min="761" max="761" width="3.88671875" customWidth="1"/>
    <col min="762" max="764" width="7.5546875" customWidth="1"/>
    <col min="765" max="765" width="6.6640625" customWidth="1"/>
    <col min="766" max="766" width="2.33203125" customWidth="1"/>
    <col min="767" max="767" width="8.88671875" customWidth="1"/>
    <col min="768" max="768" width="1.6640625" customWidth="1"/>
    <col min="769" max="773" width="8.88671875" customWidth="1"/>
    <col min="774" max="774" width="3.88671875" customWidth="1"/>
    <col min="775" max="775" width="8.88671875" customWidth="1"/>
    <col min="776" max="776" width="9.33203125" customWidth="1"/>
    <col min="777" max="778" width="7.5546875" customWidth="1"/>
    <col min="1017" max="1017" width="3.88671875" customWidth="1"/>
    <col min="1018" max="1020" width="7.5546875" customWidth="1"/>
    <col min="1021" max="1021" width="6.6640625" customWidth="1"/>
    <col min="1022" max="1022" width="2.33203125" customWidth="1"/>
    <col min="1023" max="1023" width="8.88671875" customWidth="1"/>
    <col min="1024" max="1024" width="1.6640625" customWidth="1"/>
    <col min="1025" max="1029" width="8.88671875" customWidth="1"/>
    <col min="1030" max="1030" width="3.88671875" customWidth="1"/>
    <col min="1031" max="1031" width="8.88671875" customWidth="1"/>
    <col min="1032" max="1032" width="9.33203125" customWidth="1"/>
    <col min="1033" max="1034" width="7.5546875" customWidth="1"/>
    <col min="1273" max="1273" width="3.88671875" customWidth="1"/>
    <col min="1274" max="1276" width="7.5546875" customWidth="1"/>
    <col min="1277" max="1277" width="6.6640625" customWidth="1"/>
    <col min="1278" max="1278" width="2.33203125" customWidth="1"/>
    <col min="1279" max="1279" width="8.88671875" customWidth="1"/>
    <col min="1280" max="1280" width="1.6640625" customWidth="1"/>
    <col min="1281" max="1285" width="8.88671875" customWidth="1"/>
    <col min="1286" max="1286" width="3.88671875" customWidth="1"/>
    <col min="1287" max="1287" width="8.88671875" customWidth="1"/>
    <col min="1288" max="1288" width="9.33203125" customWidth="1"/>
    <col min="1289" max="1290" width="7.5546875" customWidth="1"/>
    <col min="1529" max="1529" width="3.88671875" customWidth="1"/>
    <col min="1530" max="1532" width="7.5546875" customWidth="1"/>
    <col min="1533" max="1533" width="6.6640625" customWidth="1"/>
    <col min="1534" max="1534" width="2.33203125" customWidth="1"/>
    <col min="1535" max="1535" width="8.88671875" customWidth="1"/>
    <col min="1536" max="1536" width="1.6640625" customWidth="1"/>
    <col min="1537" max="1541" width="8.88671875" customWidth="1"/>
    <col min="1542" max="1542" width="3.88671875" customWidth="1"/>
    <col min="1543" max="1543" width="8.88671875" customWidth="1"/>
    <col min="1544" max="1544" width="9.33203125" customWidth="1"/>
    <col min="1545" max="1546" width="7.5546875" customWidth="1"/>
    <col min="1785" max="1785" width="3.88671875" customWidth="1"/>
    <col min="1786" max="1788" width="7.5546875" customWidth="1"/>
    <col min="1789" max="1789" width="6.6640625" customWidth="1"/>
    <col min="1790" max="1790" width="2.33203125" customWidth="1"/>
    <col min="1791" max="1791" width="8.88671875" customWidth="1"/>
    <col min="1792" max="1792" width="1.6640625" customWidth="1"/>
    <col min="1793" max="1797" width="8.88671875" customWidth="1"/>
    <col min="1798" max="1798" width="3.88671875" customWidth="1"/>
    <col min="1799" max="1799" width="8.88671875" customWidth="1"/>
    <col min="1800" max="1800" width="9.33203125" customWidth="1"/>
    <col min="1801" max="1802" width="7.5546875" customWidth="1"/>
    <col min="2041" max="2041" width="3.88671875" customWidth="1"/>
    <col min="2042" max="2044" width="7.5546875" customWidth="1"/>
    <col min="2045" max="2045" width="6.6640625" customWidth="1"/>
    <col min="2046" max="2046" width="2.33203125" customWidth="1"/>
    <col min="2047" max="2047" width="8.88671875" customWidth="1"/>
    <col min="2048" max="2048" width="1.6640625" customWidth="1"/>
    <col min="2049" max="2053" width="8.88671875" customWidth="1"/>
    <col min="2054" max="2054" width="3.88671875" customWidth="1"/>
    <col min="2055" max="2055" width="8.88671875" customWidth="1"/>
    <col min="2056" max="2056" width="9.33203125" customWidth="1"/>
    <col min="2057" max="2058" width="7.5546875" customWidth="1"/>
    <col min="2297" max="2297" width="3.88671875" customWidth="1"/>
    <col min="2298" max="2300" width="7.5546875" customWidth="1"/>
    <col min="2301" max="2301" width="6.6640625" customWidth="1"/>
    <col min="2302" max="2302" width="2.33203125" customWidth="1"/>
    <col min="2303" max="2303" width="8.88671875" customWidth="1"/>
    <col min="2304" max="2304" width="1.6640625" customWidth="1"/>
    <col min="2305" max="2309" width="8.88671875" customWidth="1"/>
    <col min="2310" max="2310" width="3.88671875" customWidth="1"/>
    <col min="2311" max="2311" width="8.88671875" customWidth="1"/>
    <col min="2312" max="2312" width="9.33203125" customWidth="1"/>
    <col min="2313" max="2314" width="7.5546875" customWidth="1"/>
    <col min="2553" max="2553" width="3.88671875" customWidth="1"/>
    <col min="2554" max="2556" width="7.5546875" customWidth="1"/>
    <col min="2557" max="2557" width="6.6640625" customWidth="1"/>
    <col min="2558" max="2558" width="2.33203125" customWidth="1"/>
    <col min="2559" max="2559" width="8.88671875" customWidth="1"/>
    <col min="2560" max="2560" width="1.6640625" customWidth="1"/>
    <col min="2561" max="2565" width="8.88671875" customWidth="1"/>
    <col min="2566" max="2566" width="3.88671875" customWidth="1"/>
    <col min="2567" max="2567" width="8.88671875" customWidth="1"/>
    <col min="2568" max="2568" width="9.33203125" customWidth="1"/>
    <col min="2569" max="2570" width="7.5546875" customWidth="1"/>
    <col min="2809" max="2809" width="3.88671875" customWidth="1"/>
    <col min="2810" max="2812" width="7.5546875" customWidth="1"/>
    <col min="2813" max="2813" width="6.6640625" customWidth="1"/>
    <col min="2814" max="2814" width="2.33203125" customWidth="1"/>
    <col min="2815" max="2815" width="8.88671875" customWidth="1"/>
    <col min="2816" max="2816" width="1.6640625" customWidth="1"/>
    <col min="2817" max="2821" width="8.88671875" customWidth="1"/>
    <col min="2822" max="2822" width="3.88671875" customWidth="1"/>
    <col min="2823" max="2823" width="8.88671875" customWidth="1"/>
    <col min="2824" max="2824" width="9.33203125" customWidth="1"/>
    <col min="2825" max="2826" width="7.5546875" customWidth="1"/>
    <col min="3065" max="3065" width="3.88671875" customWidth="1"/>
    <col min="3066" max="3068" width="7.5546875" customWidth="1"/>
    <col min="3069" max="3069" width="6.6640625" customWidth="1"/>
    <col min="3070" max="3070" width="2.33203125" customWidth="1"/>
    <col min="3071" max="3071" width="8.88671875" customWidth="1"/>
    <col min="3072" max="3072" width="1.6640625" customWidth="1"/>
    <col min="3073" max="3077" width="8.88671875" customWidth="1"/>
    <col min="3078" max="3078" width="3.88671875" customWidth="1"/>
    <col min="3079" max="3079" width="8.88671875" customWidth="1"/>
    <col min="3080" max="3080" width="9.33203125" customWidth="1"/>
    <col min="3081" max="3082" width="7.5546875" customWidth="1"/>
    <col min="3321" max="3321" width="3.88671875" customWidth="1"/>
    <col min="3322" max="3324" width="7.5546875" customWidth="1"/>
    <col min="3325" max="3325" width="6.6640625" customWidth="1"/>
    <col min="3326" max="3326" width="2.33203125" customWidth="1"/>
    <col min="3327" max="3327" width="8.88671875" customWidth="1"/>
    <col min="3328" max="3328" width="1.6640625" customWidth="1"/>
    <col min="3329" max="3333" width="8.88671875" customWidth="1"/>
    <col min="3334" max="3334" width="3.88671875" customWidth="1"/>
    <col min="3335" max="3335" width="8.88671875" customWidth="1"/>
    <col min="3336" max="3336" width="9.33203125" customWidth="1"/>
    <col min="3337" max="3338" width="7.5546875" customWidth="1"/>
    <col min="3577" max="3577" width="3.88671875" customWidth="1"/>
    <col min="3578" max="3580" width="7.5546875" customWidth="1"/>
    <col min="3581" max="3581" width="6.6640625" customWidth="1"/>
    <col min="3582" max="3582" width="2.33203125" customWidth="1"/>
    <col min="3583" max="3583" width="8.88671875" customWidth="1"/>
    <col min="3584" max="3584" width="1.6640625" customWidth="1"/>
    <col min="3585" max="3589" width="8.88671875" customWidth="1"/>
    <col min="3590" max="3590" width="3.88671875" customWidth="1"/>
    <col min="3591" max="3591" width="8.88671875" customWidth="1"/>
    <col min="3592" max="3592" width="9.33203125" customWidth="1"/>
    <col min="3593" max="3594" width="7.5546875" customWidth="1"/>
    <col min="3833" max="3833" width="3.88671875" customWidth="1"/>
    <col min="3834" max="3836" width="7.5546875" customWidth="1"/>
    <col min="3837" max="3837" width="6.6640625" customWidth="1"/>
    <col min="3838" max="3838" width="2.33203125" customWidth="1"/>
    <col min="3839" max="3839" width="8.88671875" customWidth="1"/>
    <col min="3840" max="3840" width="1.6640625" customWidth="1"/>
    <col min="3841" max="3845" width="8.88671875" customWidth="1"/>
    <col min="3846" max="3846" width="3.88671875" customWidth="1"/>
    <col min="3847" max="3847" width="8.88671875" customWidth="1"/>
    <col min="3848" max="3848" width="9.33203125" customWidth="1"/>
    <col min="3849" max="3850" width="7.5546875" customWidth="1"/>
    <col min="4089" max="4089" width="3.88671875" customWidth="1"/>
    <col min="4090" max="4092" width="7.5546875" customWidth="1"/>
    <col min="4093" max="4093" width="6.6640625" customWidth="1"/>
    <col min="4094" max="4094" width="2.33203125" customWidth="1"/>
    <col min="4095" max="4095" width="8.88671875" customWidth="1"/>
    <col min="4096" max="4096" width="1.6640625" customWidth="1"/>
    <col min="4097" max="4101" width="8.88671875" customWidth="1"/>
    <col min="4102" max="4102" width="3.88671875" customWidth="1"/>
    <col min="4103" max="4103" width="8.88671875" customWidth="1"/>
    <col min="4104" max="4104" width="9.33203125" customWidth="1"/>
    <col min="4105" max="4106" width="7.5546875" customWidth="1"/>
    <col min="4345" max="4345" width="3.88671875" customWidth="1"/>
    <col min="4346" max="4348" width="7.5546875" customWidth="1"/>
    <col min="4349" max="4349" width="6.6640625" customWidth="1"/>
    <col min="4350" max="4350" width="2.33203125" customWidth="1"/>
    <col min="4351" max="4351" width="8.88671875" customWidth="1"/>
    <col min="4352" max="4352" width="1.6640625" customWidth="1"/>
    <col min="4353" max="4357" width="8.88671875" customWidth="1"/>
    <col min="4358" max="4358" width="3.88671875" customWidth="1"/>
    <col min="4359" max="4359" width="8.88671875" customWidth="1"/>
    <col min="4360" max="4360" width="9.33203125" customWidth="1"/>
    <col min="4361" max="4362" width="7.5546875" customWidth="1"/>
    <col min="4601" max="4601" width="3.88671875" customWidth="1"/>
    <col min="4602" max="4604" width="7.5546875" customWidth="1"/>
    <col min="4605" max="4605" width="6.6640625" customWidth="1"/>
    <col min="4606" max="4606" width="2.33203125" customWidth="1"/>
    <col min="4607" max="4607" width="8.88671875" customWidth="1"/>
    <col min="4608" max="4608" width="1.6640625" customWidth="1"/>
    <col min="4609" max="4613" width="8.88671875" customWidth="1"/>
    <col min="4614" max="4614" width="3.88671875" customWidth="1"/>
    <col min="4615" max="4615" width="8.88671875" customWidth="1"/>
    <col min="4616" max="4616" width="9.33203125" customWidth="1"/>
    <col min="4617" max="4618" width="7.5546875" customWidth="1"/>
    <col min="4857" max="4857" width="3.88671875" customWidth="1"/>
    <col min="4858" max="4860" width="7.5546875" customWidth="1"/>
    <col min="4861" max="4861" width="6.6640625" customWidth="1"/>
    <col min="4862" max="4862" width="2.33203125" customWidth="1"/>
    <col min="4863" max="4863" width="8.88671875" customWidth="1"/>
    <col min="4864" max="4864" width="1.6640625" customWidth="1"/>
    <col min="4865" max="4869" width="8.88671875" customWidth="1"/>
    <col min="4870" max="4870" width="3.88671875" customWidth="1"/>
    <col min="4871" max="4871" width="8.88671875" customWidth="1"/>
    <col min="4872" max="4872" width="9.33203125" customWidth="1"/>
    <col min="4873" max="4874" width="7.5546875" customWidth="1"/>
    <col min="5113" max="5113" width="3.88671875" customWidth="1"/>
    <col min="5114" max="5116" width="7.5546875" customWidth="1"/>
    <col min="5117" max="5117" width="6.6640625" customWidth="1"/>
    <col min="5118" max="5118" width="2.33203125" customWidth="1"/>
    <col min="5119" max="5119" width="8.88671875" customWidth="1"/>
    <col min="5120" max="5120" width="1.6640625" customWidth="1"/>
    <col min="5121" max="5125" width="8.88671875" customWidth="1"/>
    <col min="5126" max="5126" width="3.88671875" customWidth="1"/>
    <col min="5127" max="5127" width="8.88671875" customWidth="1"/>
    <col min="5128" max="5128" width="9.33203125" customWidth="1"/>
    <col min="5129" max="5130" width="7.5546875" customWidth="1"/>
    <col min="5369" max="5369" width="3.88671875" customWidth="1"/>
    <col min="5370" max="5372" width="7.5546875" customWidth="1"/>
    <col min="5373" max="5373" width="6.6640625" customWidth="1"/>
    <col min="5374" max="5374" width="2.33203125" customWidth="1"/>
    <col min="5375" max="5375" width="8.88671875" customWidth="1"/>
    <col min="5376" max="5376" width="1.6640625" customWidth="1"/>
    <col min="5377" max="5381" width="8.88671875" customWidth="1"/>
    <col min="5382" max="5382" width="3.88671875" customWidth="1"/>
    <col min="5383" max="5383" width="8.88671875" customWidth="1"/>
    <col min="5384" max="5384" width="9.33203125" customWidth="1"/>
    <col min="5385" max="5386" width="7.5546875" customWidth="1"/>
    <col min="5625" max="5625" width="3.88671875" customWidth="1"/>
    <col min="5626" max="5628" width="7.5546875" customWidth="1"/>
    <col min="5629" max="5629" width="6.6640625" customWidth="1"/>
    <col min="5630" max="5630" width="2.33203125" customWidth="1"/>
    <col min="5631" max="5631" width="8.88671875" customWidth="1"/>
    <col min="5632" max="5632" width="1.6640625" customWidth="1"/>
    <col min="5633" max="5637" width="8.88671875" customWidth="1"/>
    <col min="5638" max="5638" width="3.88671875" customWidth="1"/>
    <col min="5639" max="5639" width="8.88671875" customWidth="1"/>
    <col min="5640" max="5640" width="9.33203125" customWidth="1"/>
    <col min="5641" max="5642" width="7.5546875" customWidth="1"/>
    <col min="5881" max="5881" width="3.88671875" customWidth="1"/>
    <col min="5882" max="5884" width="7.5546875" customWidth="1"/>
    <col min="5885" max="5885" width="6.6640625" customWidth="1"/>
    <col min="5886" max="5886" width="2.33203125" customWidth="1"/>
    <col min="5887" max="5887" width="8.88671875" customWidth="1"/>
    <col min="5888" max="5888" width="1.6640625" customWidth="1"/>
    <col min="5889" max="5893" width="8.88671875" customWidth="1"/>
    <col min="5894" max="5894" width="3.88671875" customWidth="1"/>
    <col min="5895" max="5895" width="8.88671875" customWidth="1"/>
    <col min="5896" max="5896" width="9.33203125" customWidth="1"/>
    <col min="5897" max="5898" width="7.5546875" customWidth="1"/>
    <col min="6137" max="6137" width="3.88671875" customWidth="1"/>
    <col min="6138" max="6140" width="7.5546875" customWidth="1"/>
    <col min="6141" max="6141" width="6.6640625" customWidth="1"/>
    <col min="6142" max="6142" width="2.33203125" customWidth="1"/>
    <col min="6143" max="6143" width="8.88671875" customWidth="1"/>
    <col min="6144" max="6144" width="1.6640625" customWidth="1"/>
    <col min="6145" max="6149" width="8.88671875" customWidth="1"/>
    <col min="6150" max="6150" width="3.88671875" customWidth="1"/>
    <col min="6151" max="6151" width="8.88671875" customWidth="1"/>
    <col min="6152" max="6152" width="9.33203125" customWidth="1"/>
    <col min="6153" max="6154" width="7.5546875" customWidth="1"/>
    <col min="6393" max="6393" width="3.88671875" customWidth="1"/>
    <col min="6394" max="6396" width="7.5546875" customWidth="1"/>
    <col min="6397" max="6397" width="6.6640625" customWidth="1"/>
    <col min="6398" max="6398" width="2.33203125" customWidth="1"/>
    <col min="6399" max="6399" width="8.88671875" customWidth="1"/>
    <col min="6400" max="6400" width="1.6640625" customWidth="1"/>
    <col min="6401" max="6405" width="8.88671875" customWidth="1"/>
    <col min="6406" max="6406" width="3.88671875" customWidth="1"/>
    <col min="6407" max="6407" width="8.88671875" customWidth="1"/>
    <col min="6408" max="6408" width="9.33203125" customWidth="1"/>
    <col min="6409" max="6410" width="7.5546875" customWidth="1"/>
    <col min="6649" max="6649" width="3.88671875" customWidth="1"/>
    <col min="6650" max="6652" width="7.5546875" customWidth="1"/>
    <col min="6653" max="6653" width="6.6640625" customWidth="1"/>
    <col min="6654" max="6654" width="2.33203125" customWidth="1"/>
    <col min="6655" max="6655" width="8.88671875" customWidth="1"/>
    <col min="6656" max="6656" width="1.6640625" customWidth="1"/>
    <col min="6657" max="6661" width="8.88671875" customWidth="1"/>
    <col min="6662" max="6662" width="3.88671875" customWidth="1"/>
    <col min="6663" max="6663" width="8.88671875" customWidth="1"/>
    <col min="6664" max="6664" width="9.33203125" customWidth="1"/>
    <col min="6665" max="6666" width="7.5546875" customWidth="1"/>
    <col min="6905" max="6905" width="3.88671875" customWidth="1"/>
    <col min="6906" max="6908" width="7.5546875" customWidth="1"/>
    <col min="6909" max="6909" width="6.6640625" customWidth="1"/>
    <col min="6910" max="6910" width="2.33203125" customWidth="1"/>
    <col min="6911" max="6911" width="8.88671875" customWidth="1"/>
    <col min="6912" max="6912" width="1.6640625" customWidth="1"/>
    <col min="6913" max="6917" width="8.88671875" customWidth="1"/>
    <col min="6918" max="6918" width="3.88671875" customWidth="1"/>
    <col min="6919" max="6919" width="8.88671875" customWidth="1"/>
    <col min="6920" max="6920" width="9.33203125" customWidth="1"/>
    <col min="6921" max="6922" width="7.5546875" customWidth="1"/>
    <col min="7161" max="7161" width="3.88671875" customWidth="1"/>
    <col min="7162" max="7164" width="7.5546875" customWidth="1"/>
    <col min="7165" max="7165" width="6.6640625" customWidth="1"/>
    <col min="7166" max="7166" width="2.33203125" customWidth="1"/>
    <col min="7167" max="7167" width="8.88671875" customWidth="1"/>
    <col min="7168" max="7168" width="1.6640625" customWidth="1"/>
    <col min="7169" max="7173" width="8.88671875" customWidth="1"/>
    <col min="7174" max="7174" width="3.88671875" customWidth="1"/>
    <col min="7175" max="7175" width="8.88671875" customWidth="1"/>
    <col min="7176" max="7176" width="9.33203125" customWidth="1"/>
    <col min="7177" max="7178" width="7.5546875" customWidth="1"/>
    <col min="7417" max="7417" width="3.88671875" customWidth="1"/>
    <col min="7418" max="7420" width="7.5546875" customWidth="1"/>
    <col min="7421" max="7421" width="6.6640625" customWidth="1"/>
    <col min="7422" max="7422" width="2.33203125" customWidth="1"/>
    <col min="7423" max="7423" width="8.88671875" customWidth="1"/>
    <col min="7424" max="7424" width="1.6640625" customWidth="1"/>
    <col min="7425" max="7429" width="8.88671875" customWidth="1"/>
    <col min="7430" max="7430" width="3.88671875" customWidth="1"/>
    <col min="7431" max="7431" width="8.88671875" customWidth="1"/>
    <col min="7432" max="7432" width="9.33203125" customWidth="1"/>
    <col min="7433" max="7434" width="7.5546875" customWidth="1"/>
    <col min="7673" max="7673" width="3.88671875" customWidth="1"/>
    <col min="7674" max="7676" width="7.5546875" customWidth="1"/>
    <col min="7677" max="7677" width="6.6640625" customWidth="1"/>
    <col min="7678" max="7678" width="2.33203125" customWidth="1"/>
    <col min="7679" max="7679" width="8.88671875" customWidth="1"/>
    <col min="7680" max="7680" width="1.6640625" customWidth="1"/>
    <col min="7681" max="7685" width="8.88671875" customWidth="1"/>
    <col min="7686" max="7686" width="3.88671875" customWidth="1"/>
    <col min="7687" max="7687" width="8.88671875" customWidth="1"/>
    <col min="7688" max="7688" width="9.33203125" customWidth="1"/>
    <col min="7689" max="7690" width="7.5546875" customWidth="1"/>
    <col min="7929" max="7929" width="3.88671875" customWidth="1"/>
    <col min="7930" max="7932" width="7.5546875" customWidth="1"/>
    <col min="7933" max="7933" width="6.6640625" customWidth="1"/>
    <col min="7934" max="7934" width="2.33203125" customWidth="1"/>
    <col min="7935" max="7935" width="8.88671875" customWidth="1"/>
    <col min="7936" max="7936" width="1.6640625" customWidth="1"/>
    <col min="7937" max="7941" width="8.88671875" customWidth="1"/>
    <col min="7942" max="7942" width="3.88671875" customWidth="1"/>
    <col min="7943" max="7943" width="8.88671875" customWidth="1"/>
    <col min="7944" max="7944" width="9.33203125" customWidth="1"/>
    <col min="7945" max="7946" width="7.5546875" customWidth="1"/>
    <col min="8185" max="8185" width="3.88671875" customWidth="1"/>
    <col min="8186" max="8188" width="7.5546875" customWidth="1"/>
    <col min="8189" max="8189" width="6.6640625" customWidth="1"/>
    <col min="8190" max="8190" width="2.33203125" customWidth="1"/>
    <col min="8191" max="8191" width="8.88671875" customWidth="1"/>
    <col min="8192" max="8192" width="1.6640625" customWidth="1"/>
    <col min="8193" max="8197" width="8.88671875" customWidth="1"/>
    <col min="8198" max="8198" width="3.88671875" customWidth="1"/>
    <col min="8199" max="8199" width="8.88671875" customWidth="1"/>
    <col min="8200" max="8200" width="9.33203125" customWidth="1"/>
    <col min="8201" max="8202" width="7.5546875" customWidth="1"/>
    <col min="8441" max="8441" width="3.88671875" customWidth="1"/>
    <col min="8442" max="8444" width="7.5546875" customWidth="1"/>
    <col min="8445" max="8445" width="6.6640625" customWidth="1"/>
    <col min="8446" max="8446" width="2.33203125" customWidth="1"/>
    <col min="8447" max="8447" width="8.88671875" customWidth="1"/>
    <col min="8448" max="8448" width="1.6640625" customWidth="1"/>
    <col min="8449" max="8453" width="8.88671875" customWidth="1"/>
    <col min="8454" max="8454" width="3.88671875" customWidth="1"/>
    <col min="8455" max="8455" width="8.88671875" customWidth="1"/>
    <col min="8456" max="8456" width="9.33203125" customWidth="1"/>
    <col min="8457" max="8458" width="7.5546875" customWidth="1"/>
    <col min="8697" max="8697" width="3.88671875" customWidth="1"/>
    <col min="8698" max="8700" width="7.5546875" customWidth="1"/>
    <col min="8701" max="8701" width="6.6640625" customWidth="1"/>
    <col min="8702" max="8702" width="2.33203125" customWidth="1"/>
    <col min="8703" max="8703" width="8.88671875" customWidth="1"/>
    <col min="8704" max="8704" width="1.6640625" customWidth="1"/>
    <col min="8705" max="8709" width="8.88671875" customWidth="1"/>
    <col min="8710" max="8710" width="3.88671875" customWidth="1"/>
    <col min="8711" max="8711" width="8.88671875" customWidth="1"/>
    <col min="8712" max="8712" width="9.33203125" customWidth="1"/>
    <col min="8713" max="8714" width="7.5546875" customWidth="1"/>
    <col min="8953" max="8953" width="3.88671875" customWidth="1"/>
    <col min="8954" max="8956" width="7.5546875" customWidth="1"/>
    <col min="8957" max="8957" width="6.6640625" customWidth="1"/>
    <col min="8958" max="8958" width="2.33203125" customWidth="1"/>
    <col min="8959" max="8959" width="8.88671875" customWidth="1"/>
    <col min="8960" max="8960" width="1.6640625" customWidth="1"/>
    <col min="8961" max="8965" width="8.88671875" customWidth="1"/>
    <col min="8966" max="8966" width="3.88671875" customWidth="1"/>
    <col min="8967" max="8967" width="8.88671875" customWidth="1"/>
    <col min="8968" max="8968" width="9.33203125" customWidth="1"/>
    <col min="8969" max="8970" width="7.5546875" customWidth="1"/>
    <col min="9209" max="9209" width="3.88671875" customWidth="1"/>
    <col min="9210" max="9212" width="7.5546875" customWidth="1"/>
    <col min="9213" max="9213" width="6.6640625" customWidth="1"/>
    <col min="9214" max="9214" width="2.33203125" customWidth="1"/>
    <col min="9215" max="9215" width="8.88671875" customWidth="1"/>
    <col min="9216" max="9216" width="1.6640625" customWidth="1"/>
    <col min="9217" max="9221" width="8.88671875" customWidth="1"/>
    <col min="9222" max="9222" width="3.88671875" customWidth="1"/>
    <col min="9223" max="9223" width="8.88671875" customWidth="1"/>
    <col min="9224" max="9224" width="9.33203125" customWidth="1"/>
    <col min="9225" max="9226" width="7.5546875" customWidth="1"/>
    <col min="9465" max="9465" width="3.88671875" customWidth="1"/>
    <col min="9466" max="9468" width="7.5546875" customWidth="1"/>
    <col min="9469" max="9469" width="6.6640625" customWidth="1"/>
    <col min="9470" max="9470" width="2.33203125" customWidth="1"/>
    <col min="9471" max="9471" width="8.88671875" customWidth="1"/>
    <col min="9472" max="9472" width="1.6640625" customWidth="1"/>
    <col min="9473" max="9477" width="8.88671875" customWidth="1"/>
    <col min="9478" max="9478" width="3.88671875" customWidth="1"/>
    <col min="9479" max="9479" width="8.88671875" customWidth="1"/>
    <col min="9480" max="9480" width="9.33203125" customWidth="1"/>
    <col min="9481" max="9482" width="7.5546875" customWidth="1"/>
    <col min="9721" max="9721" width="3.88671875" customWidth="1"/>
    <col min="9722" max="9724" width="7.5546875" customWidth="1"/>
    <col min="9725" max="9725" width="6.6640625" customWidth="1"/>
    <col min="9726" max="9726" width="2.33203125" customWidth="1"/>
    <col min="9727" max="9727" width="8.88671875" customWidth="1"/>
    <col min="9728" max="9728" width="1.6640625" customWidth="1"/>
    <col min="9729" max="9733" width="8.88671875" customWidth="1"/>
    <col min="9734" max="9734" width="3.88671875" customWidth="1"/>
    <col min="9735" max="9735" width="8.88671875" customWidth="1"/>
    <col min="9736" max="9736" width="9.33203125" customWidth="1"/>
    <col min="9737" max="9738" width="7.5546875" customWidth="1"/>
    <col min="9977" max="9977" width="3.88671875" customWidth="1"/>
    <col min="9978" max="9980" width="7.5546875" customWidth="1"/>
    <col min="9981" max="9981" width="6.6640625" customWidth="1"/>
    <col min="9982" max="9982" width="2.33203125" customWidth="1"/>
    <col min="9983" max="9983" width="8.88671875" customWidth="1"/>
    <col min="9984" max="9984" width="1.6640625" customWidth="1"/>
    <col min="9985" max="9989" width="8.88671875" customWidth="1"/>
    <col min="9990" max="9990" width="3.88671875" customWidth="1"/>
    <col min="9991" max="9991" width="8.88671875" customWidth="1"/>
    <col min="9992" max="9992" width="9.33203125" customWidth="1"/>
    <col min="9993" max="9994" width="7.5546875" customWidth="1"/>
    <col min="10233" max="10233" width="3.88671875" customWidth="1"/>
    <col min="10234" max="10236" width="7.5546875" customWidth="1"/>
    <col min="10237" max="10237" width="6.6640625" customWidth="1"/>
    <col min="10238" max="10238" width="2.33203125" customWidth="1"/>
    <col min="10239" max="10239" width="8.88671875" customWidth="1"/>
    <col min="10240" max="10240" width="1.6640625" customWidth="1"/>
    <col min="10241" max="10245" width="8.88671875" customWidth="1"/>
    <col min="10246" max="10246" width="3.88671875" customWidth="1"/>
    <col min="10247" max="10247" width="8.88671875" customWidth="1"/>
    <col min="10248" max="10248" width="9.33203125" customWidth="1"/>
    <col min="10249" max="10250" width="7.5546875" customWidth="1"/>
    <col min="10489" max="10489" width="3.88671875" customWidth="1"/>
    <col min="10490" max="10492" width="7.5546875" customWidth="1"/>
    <col min="10493" max="10493" width="6.6640625" customWidth="1"/>
    <col min="10494" max="10494" width="2.33203125" customWidth="1"/>
    <col min="10495" max="10495" width="8.88671875" customWidth="1"/>
    <col min="10496" max="10496" width="1.6640625" customWidth="1"/>
    <col min="10497" max="10501" width="8.88671875" customWidth="1"/>
    <col min="10502" max="10502" width="3.88671875" customWidth="1"/>
    <col min="10503" max="10503" width="8.88671875" customWidth="1"/>
    <col min="10504" max="10504" width="9.33203125" customWidth="1"/>
    <col min="10505" max="10506" width="7.5546875" customWidth="1"/>
    <col min="10745" max="10745" width="3.88671875" customWidth="1"/>
    <col min="10746" max="10748" width="7.5546875" customWidth="1"/>
    <col min="10749" max="10749" width="6.6640625" customWidth="1"/>
    <col min="10750" max="10750" width="2.33203125" customWidth="1"/>
    <col min="10751" max="10751" width="8.88671875" customWidth="1"/>
    <col min="10752" max="10752" width="1.6640625" customWidth="1"/>
    <col min="10753" max="10757" width="8.88671875" customWidth="1"/>
    <col min="10758" max="10758" width="3.88671875" customWidth="1"/>
    <col min="10759" max="10759" width="8.88671875" customWidth="1"/>
    <col min="10760" max="10760" width="9.33203125" customWidth="1"/>
    <col min="10761" max="10762" width="7.5546875" customWidth="1"/>
    <col min="11001" max="11001" width="3.88671875" customWidth="1"/>
    <col min="11002" max="11004" width="7.5546875" customWidth="1"/>
    <col min="11005" max="11005" width="6.6640625" customWidth="1"/>
    <col min="11006" max="11006" width="2.33203125" customWidth="1"/>
    <col min="11007" max="11007" width="8.88671875" customWidth="1"/>
    <col min="11008" max="11008" width="1.6640625" customWidth="1"/>
    <col min="11009" max="11013" width="8.88671875" customWidth="1"/>
    <col min="11014" max="11014" width="3.88671875" customWidth="1"/>
    <col min="11015" max="11015" width="8.88671875" customWidth="1"/>
    <col min="11016" max="11016" width="9.33203125" customWidth="1"/>
    <col min="11017" max="11018" width="7.5546875" customWidth="1"/>
    <col min="11257" max="11257" width="3.88671875" customWidth="1"/>
    <col min="11258" max="11260" width="7.5546875" customWidth="1"/>
    <col min="11261" max="11261" width="6.6640625" customWidth="1"/>
    <col min="11262" max="11262" width="2.33203125" customWidth="1"/>
    <col min="11263" max="11263" width="8.88671875" customWidth="1"/>
    <col min="11264" max="11264" width="1.6640625" customWidth="1"/>
    <col min="11265" max="11269" width="8.88671875" customWidth="1"/>
    <col min="11270" max="11270" width="3.88671875" customWidth="1"/>
    <col min="11271" max="11271" width="8.88671875" customWidth="1"/>
    <col min="11272" max="11272" width="9.33203125" customWidth="1"/>
    <col min="11273" max="11274" width="7.5546875" customWidth="1"/>
    <col min="11513" max="11513" width="3.88671875" customWidth="1"/>
    <col min="11514" max="11516" width="7.5546875" customWidth="1"/>
    <col min="11517" max="11517" width="6.6640625" customWidth="1"/>
    <col min="11518" max="11518" width="2.33203125" customWidth="1"/>
    <col min="11519" max="11519" width="8.88671875" customWidth="1"/>
    <col min="11520" max="11520" width="1.6640625" customWidth="1"/>
    <col min="11521" max="11525" width="8.88671875" customWidth="1"/>
    <col min="11526" max="11526" width="3.88671875" customWidth="1"/>
    <col min="11527" max="11527" width="8.88671875" customWidth="1"/>
    <col min="11528" max="11528" width="9.33203125" customWidth="1"/>
    <col min="11529" max="11530" width="7.5546875" customWidth="1"/>
    <col min="11769" max="11769" width="3.88671875" customWidth="1"/>
    <col min="11770" max="11772" width="7.5546875" customWidth="1"/>
    <col min="11773" max="11773" width="6.6640625" customWidth="1"/>
    <col min="11774" max="11774" width="2.33203125" customWidth="1"/>
    <col min="11775" max="11775" width="8.88671875" customWidth="1"/>
    <col min="11776" max="11776" width="1.6640625" customWidth="1"/>
    <col min="11777" max="11781" width="8.88671875" customWidth="1"/>
    <col min="11782" max="11782" width="3.88671875" customWidth="1"/>
    <col min="11783" max="11783" width="8.88671875" customWidth="1"/>
    <col min="11784" max="11784" width="9.33203125" customWidth="1"/>
    <col min="11785" max="11786" width="7.5546875" customWidth="1"/>
    <col min="12025" max="12025" width="3.88671875" customWidth="1"/>
    <col min="12026" max="12028" width="7.5546875" customWidth="1"/>
    <col min="12029" max="12029" width="6.6640625" customWidth="1"/>
    <col min="12030" max="12030" width="2.33203125" customWidth="1"/>
    <col min="12031" max="12031" width="8.88671875" customWidth="1"/>
    <col min="12032" max="12032" width="1.6640625" customWidth="1"/>
    <col min="12033" max="12037" width="8.88671875" customWidth="1"/>
    <col min="12038" max="12038" width="3.88671875" customWidth="1"/>
    <col min="12039" max="12039" width="8.88671875" customWidth="1"/>
    <col min="12040" max="12040" width="9.33203125" customWidth="1"/>
    <col min="12041" max="12042" width="7.5546875" customWidth="1"/>
    <col min="12281" max="12281" width="3.88671875" customWidth="1"/>
    <col min="12282" max="12284" width="7.5546875" customWidth="1"/>
    <col min="12285" max="12285" width="6.6640625" customWidth="1"/>
    <col min="12286" max="12286" width="2.33203125" customWidth="1"/>
    <col min="12287" max="12287" width="8.88671875" customWidth="1"/>
    <col min="12288" max="12288" width="1.6640625" customWidth="1"/>
    <col min="12289" max="12293" width="8.88671875" customWidth="1"/>
    <col min="12294" max="12294" width="3.88671875" customWidth="1"/>
    <col min="12295" max="12295" width="8.88671875" customWidth="1"/>
    <col min="12296" max="12296" width="9.33203125" customWidth="1"/>
    <col min="12297" max="12298" width="7.5546875" customWidth="1"/>
    <col min="12537" max="12537" width="3.88671875" customWidth="1"/>
    <col min="12538" max="12540" width="7.5546875" customWidth="1"/>
    <col min="12541" max="12541" width="6.6640625" customWidth="1"/>
    <col min="12542" max="12542" width="2.33203125" customWidth="1"/>
    <col min="12543" max="12543" width="8.88671875" customWidth="1"/>
    <col min="12544" max="12544" width="1.6640625" customWidth="1"/>
    <col min="12545" max="12549" width="8.88671875" customWidth="1"/>
    <col min="12550" max="12550" width="3.88671875" customWidth="1"/>
    <col min="12551" max="12551" width="8.88671875" customWidth="1"/>
    <col min="12552" max="12552" width="9.33203125" customWidth="1"/>
    <col min="12553" max="12554" width="7.5546875" customWidth="1"/>
    <col min="12793" max="12793" width="3.88671875" customWidth="1"/>
    <col min="12794" max="12796" width="7.5546875" customWidth="1"/>
    <col min="12797" max="12797" width="6.6640625" customWidth="1"/>
    <col min="12798" max="12798" width="2.33203125" customWidth="1"/>
    <col min="12799" max="12799" width="8.88671875" customWidth="1"/>
    <col min="12800" max="12800" width="1.6640625" customWidth="1"/>
    <col min="12801" max="12805" width="8.88671875" customWidth="1"/>
    <col min="12806" max="12806" width="3.88671875" customWidth="1"/>
    <col min="12807" max="12807" width="8.88671875" customWidth="1"/>
    <col min="12808" max="12808" width="9.33203125" customWidth="1"/>
    <col min="12809" max="12810" width="7.5546875" customWidth="1"/>
    <col min="13049" max="13049" width="3.88671875" customWidth="1"/>
    <col min="13050" max="13052" width="7.5546875" customWidth="1"/>
    <col min="13053" max="13053" width="6.6640625" customWidth="1"/>
    <col min="13054" max="13054" width="2.33203125" customWidth="1"/>
    <col min="13055" max="13055" width="8.88671875" customWidth="1"/>
    <col min="13056" max="13056" width="1.6640625" customWidth="1"/>
    <col min="13057" max="13061" width="8.88671875" customWidth="1"/>
    <col min="13062" max="13062" width="3.88671875" customWidth="1"/>
    <col min="13063" max="13063" width="8.88671875" customWidth="1"/>
    <col min="13064" max="13064" width="9.33203125" customWidth="1"/>
    <col min="13065" max="13066" width="7.5546875" customWidth="1"/>
    <col min="13305" max="13305" width="3.88671875" customWidth="1"/>
    <col min="13306" max="13308" width="7.5546875" customWidth="1"/>
    <col min="13309" max="13309" width="6.6640625" customWidth="1"/>
    <col min="13310" max="13310" width="2.33203125" customWidth="1"/>
    <col min="13311" max="13311" width="8.88671875" customWidth="1"/>
    <col min="13312" max="13312" width="1.6640625" customWidth="1"/>
    <col min="13313" max="13317" width="8.88671875" customWidth="1"/>
    <col min="13318" max="13318" width="3.88671875" customWidth="1"/>
    <col min="13319" max="13319" width="8.88671875" customWidth="1"/>
    <col min="13320" max="13320" width="9.33203125" customWidth="1"/>
    <col min="13321" max="13322" width="7.5546875" customWidth="1"/>
    <col min="13561" max="13561" width="3.88671875" customWidth="1"/>
    <col min="13562" max="13564" width="7.5546875" customWidth="1"/>
    <col min="13565" max="13565" width="6.6640625" customWidth="1"/>
    <col min="13566" max="13566" width="2.33203125" customWidth="1"/>
    <col min="13567" max="13567" width="8.88671875" customWidth="1"/>
    <col min="13568" max="13568" width="1.6640625" customWidth="1"/>
    <col min="13569" max="13573" width="8.88671875" customWidth="1"/>
    <col min="13574" max="13574" width="3.88671875" customWidth="1"/>
    <col min="13575" max="13575" width="8.88671875" customWidth="1"/>
    <col min="13576" max="13576" width="9.33203125" customWidth="1"/>
    <col min="13577" max="13578" width="7.5546875" customWidth="1"/>
    <col min="13817" max="13817" width="3.88671875" customWidth="1"/>
    <col min="13818" max="13820" width="7.5546875" customWidth="1"/>
    <col min="13821" max="13821" width="6.6640625" customWidth="1"/>
    <col min="13822" max="13822" width="2.33203125" customWidth="1"/>
    <col min="13823" max="13823" width="8.88671875" customWidth="1"/>
    <col min="13824" max="13824" width="1.6640625" customWidth="1"/>
    <col min="13825" max="13829" width="8.88671875" customWidth="1"/>
    <col min="13830" max="13830" width="3.88671875" customWidth="1"/>
    <col min="13831" max="13831" width="8.88671875" customWidth="1"/>
    <col min="13832" max="13832" width="9.33203125" customWidth="1"/>
    <col min="13833" max="13834" width="7.5546875" customWidth="1"/>
    <col min="14073" max="14073" width="3.88671875" customWidth="1"/>
    <col min="14074" max="14076" width="7.5546875" customWidth="1"/>
    <col min="14077" max="14077" width="6.6640625" customWidth="1"/>
    <col min="14078" max="14078" width="2.33203125" customWidth="1"/>
    <col min="14079" max="14079" width="8.88671875" customWidth="1"/>
    <col min="14080" max="14080" width="1.6640625" customWidth="1"/>
    <col min="14081" max="14085" width="8.88671875" customWidth="1"/>
    <col min="14086" max="14086" width="3.88671875" customWidth="1"/>
    <col min="14087" max="14087" width="8.88671875" customWidth="1"/>
    <col min="14088" max="14088" width="9.33203125" customWidth="1"/>
    <col min="14089" max="14090" width="7.5546875" customWidth="1"/>
    <col min="14329" max="14329" width="3.88671875" customWidth="1"/>
    <col min="14330" max="14332" width="7.5546875" customWidth="1"/>
    <col min="14333" max="14333" width="6.6640625" customWidth="1"/>
    <col min="14334" max="14334" width="2.33203125" customWidth="1"/>
    <col min="14335" max="14335" width="8.88671875" customWidth="1"/>
    <col min="14336" max="14336" width="1.6640625" customWidth="1"/>
    <col min="14337" max="14341" width="8.88671875" customWidth="1"/>
    <col min="14342" max="14342" width="3.88671875" customWidth="1"/>
    <col min="14343" max="14343" width="8.88671875" customWidth="1"/>
    <col min="14344" max="14344" width="9.33203125" customWidth="1"/>
    <col min="14345" max="14346" width="7.5546875" customWidth="1"/>
    <col min="14585" max="14585" width="3.88671875" customWidth="1"/>
    <col min="14586" max="14588" width="7.5546875" customWidth="1"/>
    <col min="14589" max="14589" width="6.6640625" customWidth="1"/>
    <col min="14590" max="14590" width="2.33203125" customWidth="1"/>
    <col min="14591" max="14591" width="8.88671875" customWidth="1"/>
    <col min="14592" max="14592" width="1.6640625" customWidth="1"/>
    <col min="14593" max="14597" width="8.88671875" customWidth="1"/>
    <col min="14598" max="14598" width="3.88671875" customWidth="1"/>
    <col min="14599" max="14599" width="8.88671875" customWidth="1"/>
    <col min="14600" max="14600" width="9.33203125" customWidth="1"/>
    <col min="14601" max="14602" width="7.5546875" customWidth="1"/>
    <col min="14841" max="14841" width="3.88671875" customWidth="1"/>
    <col min="14842" max="14844" width="7.5546875" customWidth="1"/>
    <col min="14845" max="14845" width="6.6640625" customWidth="1"/>
    <col min="14846" max="14846" width="2.33203125" customWidth="1"/>
    <col min="14847" max="14847" width="8.88671875" customWidth="1"/>
    <col min="14848" max="14848" width="1.6640625" customWidth="1"/>
    <col min="14849" max="14853" width="8.88671875" customWidth="1"/>
    <col min="14854" max="14854" width="3.88671875" customWidth="1"/>
    <col min="14855" max="14855" width="8.88671875" customWidth="1"/>
    <col min="14856" max="14856" width="9.33203125" customWidth="1"/>
    <col min="14857" max="14858" width="7.5546875" customWidth="1"/>
    <col min="15097" max="15097" width="3.88671875" customWidth="1"/>
    <col min="15098" max="15100" width="7.5546875" customWidth="1"/>
    <col min="15101" max="15101" width="6.6640625" customWidth="1"/>
    <col min="15102" max="15102" width="2.33203125" customWidth="1"/>
    <col min="15103" max="15103" width="8.88671875" customWidth="1"/>
    <col min="15104" max="15104" width="1.6640625" customWidth="1"/>
    <col min="15105" max="15109" width="8.88671875" customWidth="1"/>
    <col min="15110" max="15110" width="3.88671875" customWidth="1"/>
    <col min="15111" max="15111" width="8.88671875" customWidth="1"/>
    <col min="15112" max="15112" width="9.33203125" customWidth="1"/>
    <col min="15113" max="15114" width="7.5546875" customWidth="1"/>
    <col min="15353" max="15353" width="3.88671875" customWidth="1"/>
    <col min="15354" max="15356" width="7.5546875" customWidth="1"/>
    <col min="15357" max="15357" width="6.6640625" customWidth="1"/>
    <col min="15358" max="15358" width="2.33203125" customWidth="1"/>
    <col min="15359" max="15359" width="8.88671875" customWidth="1"/>
    <col min="15360" max="15360" width="1.6640625" customWidth="1"/>
    <col min="15361" max="15365" width="8.88671875" customWidth="1"/>
    <col min="15366" max="15366" width="3.88671875" customWidth="1"/>
    <col min="15367" max="15367" width="8.88671875" customWidth="1"/>
    <col min="15368" max="15368" width="9.33203125" customWidth="1"/>
    <col min="15369" max="15370" width="7.5546875" customWidth="1"/>
    <col min="15609" max="15609" width="3.88671875" customWidth="1"/>
    <col min="15610" max="15612" width="7.5546875" customWidth="1"/>
    <col min="15613" max="15613" width="6.6640625" customWidth="1"/>
    <col min="15614" max="15614" width="2.33203125" customWidth="1"/>
    <col min="15615" max="15615" width="8.88671875" customWidth="1"/>
    <col min="15616" max="15616" width="1.6640625" customWidth="1"/>
    <col min="15617" max="15621" width="8.88671875" customWidth="1"/>
    <col min="15622" max="15622" width="3.88671875" customWidth="1"/>
    <col min="15623" max="15623" width="8.88671875" customWidth="1"/>
    <col min="15624" max="15624" width="9.33203125" customWidth="1"/>
    <col min="15625" max="15626" width="7.5546875" customWidth="1"/>
    <col min="15865" max="15865" width="3.88671875" customWidth="1"/>
    <col min="15866" max="15868" width="7.5546875" customWidth="1"/>
    <col min="15869" max="15869" width="6.6640625" customWidth="1"/>
    <col min="15870" max="15870" width="2.33203125" customWidth="1"/>
    <col min="15871" max="15871" width="8.88671875" customWidth="1"/>
    <col min="15872" max="15872" width="1.6640625" customWidth="1"/>
    <col min="15873" max="15877" width="8.88671875" customWidth="1"/>
    <col min="15878" max="15878" width="3.88671875" customWidth="1"/>
    <col min="15879" max="15879" width="8.88671875" customWidth="1"/>
    <col min="15880" max="15880" width="9.33203125" customWidth="1"/>
    <col min="15881" max="15882" width="7.5546875" customWidth="1"/>
    <col min="16121" max="16121" width="3.88671875" customWidth="1"/>
    <col min="16122" max="16124" width="7.5546875" customWidth="1"/>
    <col min="16125" max="16125" width="6.6640625" customWidth="1"/>
    <col min="16126" max="16126" width="2.33203125" customWidth="1"/>
    <col min="16127" max="16127" width="8.88671875" customWidth="1"/>
    <col min="16128" max="16128" width="1.6640625" customWidth="1"/>
    <col min="16129" max="16133" width="8.88671875" customWidth="1"/>
    <col min="16134" max="16134" width="3.88671875" customWidth="1"/>
    <col min="16135" max="16135" width="8.88671875" customWidth="1"/>
    <col min="16136" max="16136" width="9.33203125" customWidth="1"/>
    <col min="16137" max="16138" width="7.5546875" customWidth="1"/>
  </cols>
  <sheetData>
    <row r="1" spans="2:21">
      <c r="D1" s="22"/>
      <c r="G1" s="22"/>
    </row>
    <row r="2" spans="2:21">
      <c r="C2" s="22"/>
      <c r="D2" s="22"/>
    </row>
    <row r="3" spans="2:21">
      <c r="B3" s="22" t="s">
        <v>41</v>
      </c>
      <c r="C3" s="22"/>
      <c r="D3" s="22"/>
      <c r="E3" s="318" t="s">
        <v>42</v>
      </c>
      <c r="F3" s="329"/>
      <c r="G3" s="319"/>
      <c r="H3" s="22"/>
      <c r="I3" s="22"/>
      <c r="J3" s="22"/>
    </row>
    <row r="4" spans="2:21" ht="6" customHeight="1" thickBo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21" ht="11.1" customHeight="1" thickBot="1">
      <c r="B5" s="246" t="s">
        <v>43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6"/>
      <c r="O5" s="36"/>
      <c r="P5" s="246" t="s">
        <v>49</v>
      </c>
      <c r="Q5" s="36"/>
      <c r="R5" s="36"/>
      <c r="S5" s="36"/>
      <c r="T5" s="36"/>
    </row>
    <row r="6" spans="2:21" ht="11.25" customHeight="1">
      <c r="B6" s="28" t="s">
        <v>44</v>
      </c>
      <c r="C6" s="29"/>
      <c r="D6" s="330" t="s">
        <v>222</v>
      </c>
      <c r="E6" s="331"/>
      <c r="F6" s="331"/>
      <c r="G6" s="331"/>
      <c r="H6" s="332"/>
      <c r="I6" s="323" t="s">
        <v>176</v>
      </c>
      <c r="J6" s="324"/>
      <c r="K6" s="324"/>
      <c r="L6" s="324"/>
      <c r="M6" s="339"/>
      <c r="N6" s="40"/>
      <c r="O6" s="244"/>
      <c r="P6" s="244"/>
      <c r="Q6" s="244"/>
      <c r="R6" s="42"/>
      <c r="S6" s="42"/>
      <c r="T6" s="42" t="s">
        <v>179</v>
      </c>
    </row>
    <row r="7" spans="2:21" ht="11.25" customHeight="1">
      <c r="B7" s="30" t="s">
        <v>45</v>
      </c>
      <c r="C7" s="31"/>
      <c r="D7" s="333"/>
      <c r="E7" s="334"/>
      <c r="F7" s="334"/>
      <c r="G7" s="334"/>
      <c r="H7" s="335"/>
      <c r="I7" s="326"/>
      <c r="J7" s="327"/>
      <c r="K7" s="327"/>
      <c r="L7" s="327"/>
      <c r="M7" s="340"/>
      <c r="N7" s="46"/>
      <c r="O7" s="29"/>
      <c r="P7" s="29"/>
      <c r="Q7" s="29"/>
      <c r="R7" s="42"/>
      <c r="S7" s="42"/>
      <c r="T7" s="42"/>
    </row>
    <row r="8" spans="2:21" ht="11.25" customHeight="1" thickBot="1">
      <c r="B8" s="30" t="s">
        <v>46</v>
      </c>
      <c r="C8" s="32"/>
      <c r="D8" s="336" t="s">
        <v>47</v>
      </c>
      <c r="E8" s="337"/>
      <c r="F8" s="337"/>
      <c r="G8" s="337"/>
      <c r="H8" s="338"/>
      <c r="I8" s="341"/>
      <c r="J8" s="342"/>
      <c r="K8" s="342"/>
      <c r="L8" s="342"/>
      <c r="M8" s="343"/>
      <c r="N8" s="46" t="s">
        <v>60</v>
      </c>
      <c r="O8" s="29"/>
      <c r="P8" s="29"/>
      <c r="Q8" s="48" t="s">
        <v>61</v>
      </c>
      <c r="R8" s="42" t="s">
        <v>11</v>
      </c>
      <c r="S8" s="48" t="s">
        <v>12</v>
      </c>
      <c r="T8" s="42">
        <f>K17</f>
        <v>1756.5442212154189</v>
      </c>
      <c r="U8" s="21"/>
    </row>
    <row r="9" spans="2:21" ht="11.1" customHeight="1" thickBot="1">
      <c r="B9" s="246" t="s">
        <v>177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N9" s="46" t="s">
        <v>13</v>
      </c>
      <c r="O9" s="29"/>
      <c r="P9" s="29"/>
      <c r="Q9" s="48" t="s">
        <v>64</v>
      </c>
      <c r="R9" s="42" t="s">
        <v>14</v>
      </c>
      <c r="S9" s="48" t="s">
        <v>12</v>
      </c>
      <c r="T9" s="42">
        <f>K18</f>
        <v>24</v>
      </c>
      <c r="U9" s="21"/>
    </row>
    <row r="10" spans="2:21" ht="11.1" customHeight="1">
      <c r="B10" s="39" t="s">
        <v>50</v>
      </c>
      <c r="C10" s="29"/>
      <c r="D10" s="29"/>
      <c r="E10" s="29"/>
      <c r="F10" s="330" t="s">
        <v>51</v>
      </c>
      <c r="G10" s="331"/>
      <c r="H10" s="332"/>
      <c r="I10" s="21" t="s">
        <v>178</v>
      </c>
      <c r="J10" s="29"/>
      <c r="K10" s="29"/>
      <c r="L10" s="48" t="s">
        <v>61</v>
      </c>
      <c r="M10" s="50">
        <f>((4*(F12/F13-F12)*(F11*0.01602)+4*F12))/(F11*0.01602)</f>
        <v>1756.5442212154189</v>
      </c>
      <c r="N10" s="46" t="s">
        <v>65</v>
      </c>
      <c r="O10" s="29"/>
      <c r="P10" s="29"/>
      <c r="Q10" s="48"/>
      <c r="R10" s="42" t="s">
        <v>66</v>
      </c>
      <c r="S10" s="48" t="s">
        <v>12</v>
      </c>
      <c r="T10" s="42">
        <f>$M13</f>
        <v>1</v>
      </c>
    </row>
    <row r="11" spans="2:21" ht="11.1" customHeight="1">
      <c r="B11" s="43" t="s">
        <v>52</v>
      </c>
      <c r="C11" s="31"/>
      <c r="D11" s="31"/>
      <c r="E11" s="68" t="s">
        <v>53</v>
      </c>
      <c r="F11" s="347">
        <f>'Flowsheet Balance'!D58</f>
        <v>168.57426133256084</v>
      </c>
      <c r="G11" s="348"/>
      <c r="H11" s="349"/>
      <c r="I11" s="21" t="s">
        <v>54</v>
      </c>
      <c r="J11" s="31"/>
      <c r="K11" s="31"/>
      <c r="L11" s="247" t="s">
        <v>55</v>
      </c>
      <c r="M11" s="45">
        <v>15</v>
      </c>
      <c r="N11" s="46" t="s">
        <v>67</v>
      </c>
      <c r="O11" s="29"/>
      <c r="P11" s="29"/>
      <c r="Q11" s="48"/>
      <c r="R11" s="42"/>
      <c r="S11" s="48" t="s">
        <v>12</v>
      </c>
      <c r="T11" s="42">
        <f>$F13</f>
        <v>0.16257311424001308</v>
      </c>
    </row>
    <row r="12" spans="2:21" ht="11.1" customHeight="1">
      <c r="B12" s="30" t="s">
        <v>56</v>
      </c>
      <c r="C12" s="31"/>
      <c r="D12" s="31"/>
      <c r="E12" s="68" t="s">
        <v>57</v>
      </c>
      <c r="F12" s="350">
        <f>K51</f>
        <v>79.533862266997446</v>
      </c>
      <c r="G12" s="351"/>
      <c r="H12" s="352"/>
      <c r="I12" s="21" t="s">
        <v>58</v>
      </c>
      <c r="J12" s="31"/>
      <c r="K12" s="31"/>
      <c r="L12" s="48" t="s">
        <v>59</v>
      </c>
      <c r="M12" s="47">
        <v>0.5</v>
      </c>
      <c r="N12" s="46" t="s">
        <v>69</v>
      </c>
      <c r="O12" s="29"/>
      <c r="P12" s="29"/>
      <c r="Q12" s="48" t="s">
        <v>55</v>
      </c>
      <c r="R12" s="42" t="s">
        <v>32</v>
      </c>
      <c r="S12" s="48" t="s">
        <v>12</v>
      </c>
      <c r="T12" s="42">
        <f>K34</f>
        <v>7.6147868983654119</v>
      </c>
    </row>
    <row r="13" spans="2:21" ht="11.1" customHeight="1" thickBot="1">
      <c r="B13" s="30" t="s">
        <v>62</v>
      </c>
      <c r="C13" s="31"/>
      <c r="D13" s="31"/>
      <c r="E13" s="68" t="s">
        <v>63</v>
      </c>
      <c r="F13" s="353">
        <f>'Flowsheet Balance'!D60</f>
        <v>0.16257311424001308</v>
      </c>
      <c r="G13" s="354"/>
      <c r="H13" s="355"/>
      <c r="I13" s="31" t="s">
        <v>65</v>
      </c>
      <c r="J13" s="31"/>
      <c r="K13" s="31"/>
      <c r="L13" s="226"/>
      <c r="M13" s="227">
        <v>1</v>
      </c>
      <c r="N13" s="46" t="s">
        <v>70</v>
      </c>
      <c r="O13" s="29"/>
      <c r="P13" s="29"/>
      <c r="Q13" s="29"/>
      <c r="R13" s="42"/>
      <c r="S13" s="48" t="s">
        <v>12</v>
      </c>
      <c r="T13" s="42">
        <f>$F11*0.01601668</f>
        <v>2.7</v>
      </c>
    </row>
    <row r="14" spans="2:21" ht="11.1" customHeight="1" thickBot="1">
      <c r="B14" s="344" t="s">
        <v>180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6"/>
      <c r="N14" s="46" t="s">
        <v>71</v>
      </c>
      <c r="O14" s="29"/>
      <c r="P14" s="29"/>
      <c r="Q14" s="29"/>
      <c r="R14" s="42"/>
      <c r="S14" s="48" t="s">
        <v>12</v>
      </c>
      <c r="T14" s="42">
        <v>1</v>
      </c>
    </row>
    <row r="15" spans="2:21" ht="11.1" customHeight="1">
      <c r="B15" s="40"/>
      <c r="C15" s="244"/>
      <c r="D15" s="244"/>
      <c r="E15" s="244"/>
      <c r="F15" s="244"/>
      <c r="G15" s="42"/>
      <c r="H15" s="42"/>
      <c r="I15" s="42"/>
      <c r="J15" s="42"/>
      <c r="K15" s="228" t="s">
        <v>179</v>
      </c>
      <c r="L15" s="42"/>
      <c r="M15" s="53"/>
      <c r="N15" s="46" t="s">
        <v>73</v>
      </c>
      <c r="O15" s="29"/>
      <c r="P15" s="29"/>
      <c r="Q15" s="29"/>
      <c r="R15" s="42"/>
      <c r="S15" s="48" t="s">
        <v>12</v>
      </c>
      <c r="T15" s="56">
        <v>300</v>
      </c>
    </row>
    <row r="16" spans="2:21" ht="11.1" customHeight="1">
      <c r="B16" s="46"/>
      <c r="C16" s="29"/>
      <c r="D16" s="29"/>
      <c r="E16" s="29"/>
      <c r="F16" s="54"/>
      <c r="G16" s="42"/>
      <c r="H16" s="42"/>
      <c r="I16" s="42"/>
      <c r="J16" s="42"/>
      <c r="K16" s="42"/>
      <c r="L16" s="42"/>
      <c r="M16" s="55"/>
      <c r="N16" s="46" t="s">
        <v>76</v>
      </c>
      <c r="O16" s="29"/>
      <c r="P16" s="29"/>
      <c r="Q16" s="29"/>
      <c r="R16" s="42"/>
      <c r="S16" s="48" t="s">
        <v>12</v>
      </c>
      <c r="T16" s="42">
        <f>IF(T11&lt;20,EXP(0.0321*T11),IF(T11&gt;45,0.00004*EXP(0.284*T11),IF(T11&gt;35,0.0433*EXP(0.1292*T11),0.5664*EXP(0.06*T11))))</f>
        <v>1.0052322375621905</v>
      </c>
    </row>
    <row r="17" spans="2:20" ht="11.1" customHeight="1">
      <c r="B17" s="46" t="s">
        <v>68</v>
      </c>
      <c r="C17" s="29"/>
      <c r="D17" s="29"/>
      <c r="E17" s="48" t="s">
        <v>61</v>
      </c>
      <c r="F17" s="54"/>
      <c r="G17" s="42" t="s">
        <v>11</v>
      </c>
      <c r="H17" s="48" t="s">
        <v>12</v>
      </c>
      <c r="I17" s="42"/>
      <c r="J17" s="42"/>
      <c r="K17" s="42">
        <f>$M10/$M13</f>
        <v>1756.5442212154189</v>
      </c>
      <c r="L17" s="42"/>
      <c r="M17" s="42"/>
      <c r="N17" s="46" t="s">
        <v>78</v>
      </c>
      <c r="O17" s="29"/>
      <c r="P17" s="29"/>
      <c r="Q17" s="29"/>
      <c r="R17" s="42"/>
      <c r="S17" s="48" t="s">
        <v>12</v>
      </c>
      <c r="T17" s="42">
        <f xml:space="preserve"> 2.0193*T12^-0.3006</f>
        <v>1.0969189124925169</v>
      </c>
    </row>
    <row r="18" spans="2:20" ht="11.1" customHeight="1">
      <c r="B18" s="46" t="s">
        <v>13</v>
      </c>
      <c r="C18" s="29"/>
      <c r="D18" s="29"/>
      <c r="E18" s="48" t="s">
        <v>64</v>
      </c>
      <c r="F18" s="54"/>
      <c r="G18" s="42" t="s">
        <v>14</v>
      </c>
      <c r="H18" s="48" t="s">
        <v>12</v>
      </c>
      <c r="I18" s="42"/>
      <c r="J18" s="42"/>
      <c r="K18" s="228">
        <v>24</v>
      </c>
      <c r="L18" s="42"/>
      <c r="M18" s="42"/>
      <c r="N18" s="46" t="s">
        <v>80</v>
      </c>
      <c r="O18" s="29"/>
      <c r="P18" s="29"/>
      <c r="Q18" s="29"/>
      <c r="R18" s="42"/>
      <c r="S18" s="48" t="s">
        <v>12</v>
      </c>
      <c r="T18" s="42">
        <f>(1.65/(T13-T14))^0.5</f>
        <v>0.98518436614377791</v>
      </c>
    </row>
    <row r="19" spans="2:20" ht="11.1" customHeight="1" thickBot="1">
      <c r="B19" s="46" t="s">
        <v>72</v>
      </c>
      <c r="C19" s="29"/>
      <c r="D19" s="29"/>
      <c r="E19" s="48" t="s">
        <v>181</v>
      </c>
      <c r="F19" s="54"/>
      <c r="G19" s="42" t="s">
        <v>15</v>
      </c>
      <c r="H19" s="48" t="s">
        <v>12</v>
      </c>
      <c r="I19" s="42"/>
      <c r="J19" s="42"/>
      <c r="K19" s="228">
        <v>50</v>
      </c>
      <c r="L19" s="42"/>
      <c r="M19" s="42"/>
      <c r="N19" s="46" t="s">
        <v>34</v>
      </c>
      <c r="O19" s="29"/>
      <c r="P19" s="29"/>
      <c r="Q19" s="29"/>
      <c r="R19" s="42"/>
      <c r="S19" s="48" t="s">
        <v>12</v>
      </c>
      <c r="T19" s="42">
        <f>T15*T16*T17*T18</f>
        <v>325.89650156600379</v>
      </c>
    </row>
    <row r="20" spans="2:20" ht="11.1" customHeight="1" thickBot="1">
      <c r="B20" s="46" t="s">
        <v>74</v>
      </c>
      <c r="C20" s="29"/>
      <c r="D20" s="29"/>
      <c r="E20" s="48" t="s">
        <v>75</v>
      </c>
      <c r="F20" s="54"/>
      <c r="G20" s="42" t="s">
        <v>16</v>
      </c>
      <c r="H20" s="48" t="s">
        <v>12</v>
      </c>
      <c r="I20" s="42"/>
      <c r="J20" s="42"/>
      <c r="K20" s="42">
        <f>2*(K19/PI())^0.5</f>
        <v>7.9788456080286538</v>
      </c>
      <c r="L20" s="42"/>
      <c r="M20" s="42"/>
      <c r="N20" s="58" t="str">
        <f t="shared" ref="N20:N33" si="0">B37</f>
        <v>Size</v>
      </c>
      <c r="O20" s="58" t="str">
        <f t="shared" ref="O20:O33" si="1">C37</f>
        <v>%</v>
      </c>
      <c r="P20" s="58" t="str">
        <f t="shared" ref="P20:P33" si="2">D37</f>
        <v>% Cum</v>
      </c>
      <c r="Q20" s="58" t="str">
        <f t="shared" ref="Q20:Q33" si="3">E37</f>
        <v>% Cum</v>
      </c>
      <c r="R20" s="59" t="s">
        <v>167</v>
      </c>
      <c r="S20" s="229" t="s">
        <v>82</v>
      </c>
      <c r="T20" s="229" t="s">
        <v>199</v>
      </c>
    </row>
    <row r="21" spans="2:20" ht="11.1" customHeight="1" thickBot="1">
      <c r="B21" s="46" t="s">
        <v>77</v>
      </c>
      <c r="C21" s="29"/>
      <c r="D21" s="29"/>
      <c r="E21" s="48" t="s">
        <v>75</v>
      </c>
      <c r="F21" s="54"/>
      <c r="G21" s="42" t="s">
        <v>17</v>
      </c>
      <c r="H21" s="48" t="s">
        <v>12</v>
      </c>
      <c r="I21" s="42"/>
      <c r="J21" s="42"/>
      <c r="K21" s="42">
        <f>K22*1.9</f>
        <v>9.7467943448089649</v>
      </c>
      <c r="L21" s="42"/>
      <c r="M21" s="42"/>
      <c r="N21" s="58" t="str">
        <f t="shared" si="0"/>
        <v>microns</v>
      </c>
      <c r="O21" s="61" t="str">
        <f t="shared" si="1"/>
        <v xml:space="preserve"> Retained</v>
      </c>
      <c r="P21" s="61" t="str">
        <f t="shared" si="2"/>
        <v xml:space="preserve"> Pass</v>
      </c>
      <c r="Q21" s="62" t="str">
        <f t="shared" si="3"/>
        <v xml:space="preserve"> Retained</v>
      </c>
      <c r="R21" s="19" t="s">
        <v>36</v>
      </c>
      <c r="S21" s="230" t="s">
        <v>84</v>
      </c>
      <c r="T21" s="230" t="s">
        <v>200</v>
      </c>
    </row>
    <row r="22" spans="2:20" ht="11.1" customHeight="1">
      <c r="B22" s="46" t="s">
        <v>79</v>
      </c>
      <c r="C22" s="29"/>
      <c r="D22" s="29"/>
      <c r="E22" s="48" t="s">
        <v>75</v>
      </c>
      <c r="F22" s="54"/>
      <c r="G22" s="42" t="s">
        <v>18</v>
      </c>
      <c r="H22" s="48" t="s">
        <v>12</v>
      </c>
      <c r="I22" s="42"/>
      <c r="J22" s="42"/>
      <c r="K22" s="42">
        <f>(K19/1.9)^0.5</f>
        <v>5.129891760425771</v>
      </c>
      <c r="L22" s="42"/>
      <c r="M22" s="42"/>
      <c r="N22" s="65">
        <f t="shared" si="0"/>
        <v>4760</v>
      </c>
      <c r="O22" s="66">
        <f t="shared" si="1"/>
        <v>0</v>
      </c>
      <c r="P22" s="64">
        <f t="shared" si="2"/>
        <v>1</v>
      </c>
      <c r="Q22" s="64">
        <f t="shared" si="3"/>
        <v>0</v>
      </c>
      <c r="R22" s="248">
        <f t="shared" ref="R22:R33" si="4">(1-(1/(1+0.12*((K$17*3.785)^0.44)*((K$24/K$28)^4.4))))*(1-0.5*EXP(-($N22/T$19)))+(1/(1+0.12*((K$17*3.785)^0.44)*((K$24/K$28)^4.4)))</f>
        <v>0.99999977646003768</v>
      </c>
      <c r="S22" s="42">
        <f t="shared" ref="S22:S33" si="5">100*R22*$C39</f>
        <v>0</v>
      </c>
      <c r="T22" s="42">
        <f t="shared" ref="T22:T33" si="6">S22*T$38/100</f>
        <v>0</v>
      </c>
    </row>
    <row r="23" spans="2:20" ht="11.1" customHeight="1">
      <c r="B23" s="46" t="s">
        <v>19</v>
      </c>
      <c r="C23" s="29"/>
      <c r="D23" s="29"/>
      <c r="E23" s="48" t="s">
        <v>75</v>
      </c>
      <c r="F23" s="54"/>
      <c r="G23" s="42" t="s">
        <v>20</v>
      </c>
      <c r="H23" s="48" t="s">
        <v>12</v>
      </c>
      <c r="I23" s="42"/>
      <c r="J23" s="42"/>
      <c r="K23" s="42">
        <f>0.25*K22</f>
        <v>1.2824729401064427</v>
      </c>
      <c r="L23" s="42"/>
      <c r="M23" s="42"/>
      <c r="N23" s="65">
        <f t="shared" si="0"/>
        <v>2380</v>
      </c>
      <c r="O23" s="66">
        <f t="shared" si="1"/>
        <v>0</v>
      </c>
      <c r="P23" s="64">
        <f t="shared" si="2"/>
        <v>1</v>
      </c>
      <c r="Q23" s="64">
        <f t="shared" si="3"/>
        <v>0</v>
      </c>
      <c r="R23" s="248">
        <f t="shared" si="4"/>
        <v>0.99966812215900791</v>
      </c>
      <c r="S23" s="42">
        <f t="shared" si="5"/>
        <v>0</v>
      </c>
      <c r="T23" s="42">
        <f t="shared" si="6"/>
        <v>0</v>
      </c>
    </row>
    <row r="24" spans="2:20" ht="11.1" customHeight="1">
      <c r="B24" s="46" t="s">
        <v>81</v>
      </c>
      <c r="C24" s="29"/>
      <c r="D24" s="29"/>
      <c r="E24" s="48" t="s">
        <v>75</v>
      </c>
      <c r="F24" s="54"/>
      <c r="G24" s="42" t="s">
        <v>21</v>
      </c>
      <c r="H24" s="48" t="s">
        <v>12</v>
      </c>
      <c r="I24" s="42"/>
      <c r="J24" s="42"/>
      <c r="K24" s="228">
        <v>7</v>
      </c>
      <c r="L24" s="42"/>
      <c r="M24" s="42"/>
      <c r="N24" s="65">
        <f t="shared" si="0"/>
        <v>1190</v>
      </c>
      <c r="O24" s="66">
        <f t="shared" si="1"/>
        <v>0.29611231867279753</v>
      </c>
      <c r="P24" s="64">
        <f t="shared" si="2"/>
        <v>0.70388768132720247</v>
      </c>
      <c r="Q24" s="64">
        <f t="shared" si="3"/>
        <v>0.29611231867279753</v>
      </c>
      <c r="R24" s="248">
        <f t="shared" si="4"/>
        <v>0.98721237778276627</v>
      </c>
      <c r="S24" s="42">
        <f t="shared" si="5"/>
        <v>29.232574620774066</v>
      </c>
      <c r="T24" s="42">
        <f t="shared" si="6"/>
        <v>23.249795635983695</v>
      </c>
    </row>
    <row r="25" spans="2:20" ht="11.1" customHeight="1">
      <c r="B25" s="46" t="s">
        <v>83</v>
      </c>
      <c r="C25" s="29"/>
      <c r="D25" s="29"/>
      <c r="E25" s="48" t="s">
        <v>75</v>
      </c>
      <c r="F25" s="54"/>
      <c r="G25" s="42" t="s">
        <v>22</v>
      </c>
      <c r="H25" s="48" t="s">
        <v>12</v>
      </c>
      <c r="I25" s="42"/>
      <c r="J25" s="42"/>
      <c r="K25" s="42">
        <f>0.4*K22</f>
        <v>2.0519567041703084</v>
      </c>
      <c r="L25" s="42"/>
      <c r="M25" s="42"/>
      <c r="N25" s="65">
        <f t="shared" si="0"/>
        <v>595</v>
      </c>
      <c r="O25" s="66">
        <f t="shared" si="1"/>
        <v>0.23875487622368893</v>
      </c>
      <c r="P25" s="64">
        <f t="shared" si="2"/>
        <v>0.46513280510351351</v>
      </c>
      <c r="Q25" s="64">
        <f t="shared" si="3"/>
        <v>0.53486719489648649</v>
      </c>
      <c r="R25" s="248">
        <f t="shared" si="4"/>
        <v>0.92062283785389942</v>
      </c>
      <c r="S25" s="42">
        <f t="shared" si="5"/>
        <v>21.980319170050898</v>
      </c>
      <c r="T25" s="42">
        <f t="shared" si="6"/>
        <v>17.481796774554716</v>
      </c>
    </row>
    <row r="26" spans="2:20" ht="11.1" customHeight="1">
      <c r="B26" s="46" t="s">
        <v>85</v>
      </c>
      <c r="C26" s="29"/>
      <c r="D26" s="29"/>
      <c r="E26" s="48" t="s">
        <v>75</v>
      </c>
      <c r="F26" s="54"/>
      <c r="G26" s="42" t="s">
        <v>23</v>
      </c>
      <c r="H26" s="48" t="s">
        <v>12</v>
      </c>
      <c r="I26" s="42"/>
      <c r="J26" s="42"/>
      <c r="K26" s="42">
        <f>0.5*K21</f>
        <v>4.8733971724044824</v>
      </c>
      <c r="L26" s="42"/>
      <c r="M26" s="42"/>
      <c r="N26" s="65">
        <f t="shared" si="0"/>
        <v>297</v>
      </c>
      <c r="O26" s="66">
        <f t="shared" si="1"/>
        <v>0.24654468000610955</v>
      </c>
      <c r="P26" s="64">
        <f t="shared" si="2"/>
        <v>0.21858812509740397</v>
      </c>
      <c r="Q26" s="64">
        <f t="shared" si="3"/>
        <v>0.781411874902596</v>
      </c>
      <c r="R26" s="248">
        <f t="shared" si="4"/>
        <v>0.80193179724491526</v>
      </c>
      <c r="S26" s="42">
        <f t="shared" si="5"/>
        <v>19.771201833847197</v>
      </c>
      <c r="T26" s="42">
        <f t="shared" si="6"/>
        <v>15.724800435062102</v>
      </c>
    </row>
    <row r="27" spans="2:20" ht="11.1" customHeight="1">
      <c r="B27" s="46" t="s">
        <v>86</v>
      </c>
      <c r="C27" s="29"/>
      <c r="D27" s="29"/>
      <c r="E27" s="48" t="s">
        <v>75</v>
      </c>
      <c r="F27" s="54"/>
      <c r="G27" s="42" t="s">
        <v>24</v>
      </c>
      <c r="H27" s="48" t="s">
        <v>12</v>
      </c>
      <c r="I27" s="42"/>
      <c r="J27" s="42"/>
      <c r="K27" s="42">
        <f>K25+K21+K26</f>
        <v>16.672148221383758</v>
      </c>
      <c r="L27" s="42"/>
      <c r="M27" s="42"/>
      <c r="N27" s="65">
        <f t="shared" si="0"/>
        <v>149</v>
      </c>
      <c r="O27" s="66">
        <f t="shared" si="1"/>
        <v>0.15531948409365548</v>
      </c>
      <c r="P27" s="64">
        <f t="shared" si="2"/>
        <v>6.3268641003748488E-2</v>
      </c>
      <c r="Q27" s="64">
        <f t="shared" si="3"/>
        <v>0.93673135899625148</v>
      </c>
      <c r="R27" s="248">
        <f t="shared" si="4"/>
        <v>0.68808106275255032</v>
      </c>
      <c r="S27" s="42">
        <f t="shared" si="5"/>
        <v>10.687239568134029</v>
      </c>
      <c r="T27" s="42">
        <f t="shared" si="6"/>
        <v>8.4999743982637703</v>
      </c>
    </row>
    <row r="28" spans="2:20" ht="11.1" customHeight="1">
      <c r="B28" s="46" t="s">
        <v>87</v>
      </c>
      <c r="C28" s="29"/>
      <c r="D28" s="29"/>
      <c r="E28" s="48" t="s">
        <v>75</v>
      </c>
      <c r="F28" s="54"/>
      <c r="G28" s="42" t="s">
        <v>15</v>
      </c>
      <c r="H28" s="48" t="s">
        <v>12</v>
      </c>
      <c r="I28" s="42"/>
      <c r="J28" s="42"/>
      <c r="K28" s="228">
        <v>4</v>
      </c>
      <c r="L28" s="42"/>
      <c r="M28" s="42"/>
      <c r="N28" s="65">
        <f t="shared" si="0"/>
        <v>74</v>
      </c>
      <c r="O28" s="66">
        <f t="shared" si="1"/>
        <v>5.7116674575729484E-2</v>
      </c>
      <c r="P28" s="64">
        <f t="shared" si="2"/>
        <v>6.151966428019004E-3</v>
      </c>
      <c r="Q28" s="64">
        <f t="shared" si="3"/>
        <v>0.99384803357198093</v>
      </c>
      <c r="R28" s="248">
        <f t="shared" si="4"/>
        <v>0.60736605102723096</v>
      </c>
      <c r="S28" s="42">
        <f t="shared" si="5"/>
        <v>3.4690729084868259</v>
      </c>
      <c r="T28" s="42">
        <f t="shared" si="6"/>
        <v>2.7590876689776342</v>
      </c>
    </row>
    <row r="29" spans="2:20" ht="11.1" customHeight="1">
      <c r="B29" s="46" t="s">
        <v>88</v>
      </c>
      <c r="C29" s="29"/>
      <c r="D29" s="29"/>
      <c r="E29" s="48" t="s">
        <v>75</v>
      </c>
      <c r="F29" s="54"/>
      <c r="G29" s="42" t="s">
        <v>25</v>
      </c>
      <c r="H29" s="48" t="s">
        <v>12</v>
      </c>
      <c r="I29" s="42"/>
      <c r="J29" s="42"/>
      <c r="K29" s="42">
        <f>((K18/2)-(K28/2))*(1/TAN(K35*PI()/180))</f>
        <v>27.474774194546224</v>
      </c>
      <c r="L29" s="42"/>
      <c r="M29" s="42"/>
      <c r="N29" s="65">
        <f t="shared" si="0"/>
        <v>0</v>
      </c>
      <c r="O29" s="66">
        <f t="shared" si="1"/>
        <v>6.1519664280189025E-3</v>
      </c>
      <c r="P29" s="64">
        <f t="shared" si="2"/>
        <v>1.0148132334464322E-16</v>
      </c>
      <c r="Q29" s="64">
        <f t="shared" si="3"/>
        <v>0.99999999999999978</v>
      </c>
      <c r="R29" s="248">
        <f t="shared" si="4"/>
        <v>0.50727869784290947</v>
      </c>
      <c r="S29" s="42">
        <f t="shared" si="5"/>
        <v>0.31207615187787235</v>
      </c>
      <c r="T29" s="42">
        <f t="shared" si="6"/>
        <v>0.24820621680269275</v>
      </c>
    </row>
    <row r="30" spans="2:20" ht="11.1" customHeight="1">
      <c r="B30" s="46" t="s">
        <v>89</v>
      </c>
      <c r="C30" s="29"/>
      <c r="D30" s="29"/>
      <c r="E30" s="48" t="s">
        <v>75</v>
      </c>
      <c r="F30" s="54"/>
      <c r="G30" s="42" t="s">
        <v>26</v>
      </c>
      <c r="H30" s="48" t="s">
        <v>12</v>
      </c>
      <c r="I30" s="42"/>
      <c r="J30" s="42"/>
      <c r="K30" s="42">
        <f>K27+K29</f>
        <v>44.146922415929978</v>
      </c>
      <c r="L30" s="42"/>
      <c r="M30" s="42"/>
      <c r="N30" s="67">
        <f t="shared" si="0"/>
        <v>0</v>
      </c>
      <c r="O30" s="66">
        <f t="shared" si="1"/>
        <v>0</v>
      </c>
      <c r="P30" s="64">
        <f t="shared" si="2"/>
        <v>1.0148132334464322E-16</v>
      </c>
      <c r="Q30" s="64">
        <f t="shared" si="3"/>
        <v>0.99999999999999978</v>
      </c>
      <c r="R30" s="248">
        <f t="shared" si="4"/>
        <v>0.50727869784290947</v>
      </c>
      <c r="S30" s="42">
        <f t="shared" si="5"/>
        <v>0</v>
      </c>
      <c r="T30" s="42">
        <f t="shared" si="6"/>
        <v>0</v>
      </c>
    </row>
    <row r="31" spans="2:20" ht="11.1" customHeight="1">
      <c r="B31" s="46" t="s">
        <v>90</v>
      </c>
      <c r="C31" s="29"/>
      <c r="D31" s="29"/>
      <c r="E31" s="48" t="s">
        <v>91</v>
      </c>
      <c r="F31" s="54"/>
      <c r="G31" s="42" t="s">
        <v>27</v>
      </c>
      <c r="H31" s="48" t="s">
        <v>12</v>
      </c>
      <c r="I31" s="42"/>
      <c r="J31" s="42"/>
      <c r="K31" s="42">
        <f>K17*0.002228/(K19/144)</f>
        <v>11.271111911619705</v>
      </c>
      <c r="L31" s="42"/>
      <c r="M31" s="42"/>
      <c r="N31" s="67">
        <f t="shared" si="0"/>
        <v>0</v>
      </c>
      <c r="O31" s="66">
        <f t="shared" si="1"/>
        <v>0</v>
      </c>
      <c r="P31" s="64">
        <f t="shared" si="2"/>
        <v>1.0148132334464322E-16</v>
      </c>
      <c r="Q31" s="64">
        <f t="shared" si="3"/>
        <v>0.99999999999999978</v>
      </c>
      <c r="R31" s="248">
        <f t="shared" si="4"/>
        <v>0.50727869784290947</v>
      </c>
      <c r="S31" s="42">
        <f t="shared" si="5"/>
        <v>0</v>
      </c>
      <c r="T31" s="42">
        <f t="shared" si="6"/>
        <v>0</v>
      </c>
    </row>
    <row r="32" spans="2:20" ht="11.1" customHeight="1">
      <c r="B32" s="46" t="s">
        <v>28</v>
      </c>
      <c r="C32" s="29"/>
      <c r="D32" s="29"/>
      <c r="E32" s="48"/>
      <c r="F32" s="54"/>
      <c r="G32" s="42" t="s">
        <v>29</v>
      </c>
      <c r="H32" s="48" t="s">
        <v>12</v>
      </c>
      <c r="I32" s="42"/>
      <c r="J32" s="42"/>
      <c r="K32" s="42">
        <f>(0.003*($F11)*K31^2)/12</f>
        <v>5.3538327240022623</v>
      </c>
      <c r="L32" s="42"/>
      <c r="M32" s="42"/>
      <c r="N32" s="65">
        <f t="shared" si="0"/>
        <v>0</v>
      </c>
      <c r="O32" s="66">
        <f t="shared" si="1"/>
        <v>0</v>
      </c>
      <c r="P32" s="64">
        <f t="shared" si="2"/>
        <v>1.0148132334464322E-16</v>
      </c>
      <c r="Q32" s="64">
        <f t="shared" si="3"/>
        <v>0.99999999999999978</v>
      </c>
      <c r="R32" s="248">
        <f t="shared" si="4"/>
        <v>0.50727869784290947</v>
      </c>
      <c r="S32" s="42">
        <f t="shared" si="5"/>
        <v>0</v>
      </c>
      <c r="T32" s="42">
        <f t="shared" si="6"/>
        <v>0</v>
      </c>
    </row>
    <row r="33" spans="2:21" ht="11.1" customHeight="1" thickBot="1">
      <c r="B33" s="46" t="s">
        <v>30</v>
      </c>
      <c r="C33" s="29"/>
      <c r="D33" s="29"/>
      <c r="E33" s="48"/>
      <c r="F33" s="54"/>
      <c r="G33" s="42" t="s">
        <v>31</v>
      </c>
      <c r="H33" s="48" t="s">
        <v>12</v>
      </c>
      <c r="I33" s="42"/>
      <c r="J33" s="42"/>
      <c r="K33" s="42">
        <f>11.3*((K19)/((K25+K21))^2)+3.33</f>
        <v>7.3886011342155005</v>
      </c>
      <c r="L33" s="42"/>
      <c r="M33" s="42"/>
      <c r="N33" s="234">
        <f t="shared" si="0"/>
        <v>0</v>
      </c>
      <c r="O33" s="235">
        <f t="shared" si="1"/>
        <v>0</v>
      </c>
      <c r="P33" s="236">
        <f t="shared" si="2"/>
        <v>1.0148132334464322E-16</v>
      </c>
      <c r="Q33" s="236">
        <f t="shared" si="3"/>
        <v>0.99999999999999978</v>
      </c>
      <c r="R33" s="248">
        <f t="shared" si="4"/>
        <v>0.50727869784290947</v>
      </c>
      <c r="S33" s="42">
        <f t="shared" si="5"/>
        <v>0</v>
      </c>
      <c r="T33" s="42">
        <f t="shared" si="6"/>
        <v>0</v>
      </c>
    </row>
    <row r="34" spans="2:21" ht="11.1" customHeight="1" thickBot="1">
      <c r="B34" s="46" t="s">
        <v>92</v>
      </c>
      <c r="C34" s="29"/>
      <c r="D34" s="29"/>
      <c r="E34" s="48" t="s">
        <v>55</v>
      </c>
      <c r="F34" s="54"/>
      <c r="G34" s="42" t="s">
        <v>32</v>
      </c>
      <c r="H34" s="48" t="s">
        <v>12</v>
      </c>
      <c r="I34" s="42"/>
      <c r="J34" s="42"/>
      <c r="K34" s="42">
        <f>2.31*K32*K33/12</f>
        <v>7.6147868983654119</v>
      </c>
      <c r="L34" s="42"/>
      <c r="M34" s="42"/>
      <c r="N34" s="77" t="s">
        <v>38</v>
      </c>
      <c r="O34" s="78"/>
      <c r="P34" s="78"/>
      <c r="Q34" s="78"/>
      <c r="R34" s="79" t="s">
        <v>36</v>
      </c>
      <c r="S34" s="237">
        <f>SUM(S22:S33)</f>
        <v>85.452484253170894</v>
      </c>
      <c r="T34" s="42">
        <f>SUM(T22:T33)</f>
        <v>67.963661129644592</v>
      </c>
    </row>
    <row r="35" spans="2:21" ht="11.1" customHeight="1" thickBot="1">
      <c r="B35" s="30" t="s">
        <v>93</v>
      </c>
      <c r="C35" s="31"/>
      <c r="D35" s="31"/>
      <c r="E35" s="68" t="s">
        <v>94</v>
      </c>
      <c r="F35" s="69"/>
      <c r="G35" s="70" t="s">
        <v>33</v>
      </c>
      <c r="H35" s="71" t="s">
        <v>12</v>
      </c>
      <c r="I35" s="56"/>
      <c r="J35" s="56"/>
      <c r="K35" s="56">
        <v>20</v>
      </c>
      <c r="L35" s="56"/>
      <c r="M35" s="232"/>
      <c r="N35" s="46" t="s">
        <v>98</v>
      </c>
      <c r="O35" s="29" t="s">
        <v>99</v>
      </c>
      <c r="P35" s="29"/>
      <c r="Q35" s="29"/>
      <c r="R35" s="80" t="s">
        <v>61</v>
      </c>
      <c r="S35" s="48"/>
      <c r="T35" s="42">
        <f>T8</f>
        <v>1756.5442212154189</v>
      </c>
    </row>
    <row r="36" spans="2:21" ht="11.1" customHeight="1" thickBot="1">
      <c r="B36" s="344" t="s">
        <v>95</v>
      </c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6"/>
      <c r="N36" s="46"/>
      <c r="O36" s="29" t="s">
        <v>100</v>
      </c>
      <c r="P36" s="29"/>
      <c r="Q36" s="29"/>
      <c r="R36" s="60"/>
      <c r="S36" s="48"/>
      <c r="T36" s="42">
        <f>($F11*0.01602)/(($F11*0.01602)+T39-($F11*0.01602)*T39)</f>
        <v>1.1140488928909795</v>
      </c>
    </row>
    <row r="37" spans="2:21" ht="11.1" customHeight="1" thickBot="1">
      <c r="B37" s="72" t="s">
        <v>35</v>
      </c>
      <c r="C37" s="73" t="s">
        <v>36</v>
      </c>
      <c r="D37" s="73" t="s">
        <v>96</v>
      </c>
      <c r="E37" s="73" t="s">
        <v>96</v>
      </c>
      <c r="F37" s="223"/>
      <c r="G37" s="223"/>
      <c r="H37" s="223"/>
      <c r="I37" s="249"/>
      <c r="J37" s="250"/>
      <c r="K37" s="58" t="s">
        <v>40</v>
      </c>
      <c r="L37" s="58" t="s">
        <v>84</v>
      </c>
      <c r="M37" s="58" t="s">
        <v>175</v>
      </c>
      <c r="N37" s="46"/>
      <c r="O37" s="29" t="s">
        <v>101</v>
      </c>
      <c r="P37" s="29"/>
      <c r="Q37" s="29"/>
      <c r="R37" s="42" t="s">
        <v>61</v>
      </c>
      <c r="S37" s="48"/>
      <c r="T37" s="42">
        <f>T35-(T38*4/($F11*0.01602))</f>
        <v>1638.7406958910954</v>
      </c>
    </row>
    <row r="38" spans="2:21" ht="11.1" customHeight="1">
      <c r="B38" s="72" t="s">
        <v>39</v>
      </c>
      <c r="C38" s="75" t="s">
        <v>37</v>
      </c>
      <c r="D38" s="75" t="s">
        <v>97</v>
      </c>
      <c r="E38" s="64" t="s">
        <v>37</v>
      </c>
      <c r="F38" s="18"/>
      <c r="G38" s="18"/>
      <c r="H38" s="18"/>
      <c r="I38" s="225"/>
      <c r="J38" s="251"/>
      <c r="K38" s="63" t="s">
        <v>174</v>
      </c>
      <c r="L38" s="63" t="s">
        <v>174</v>
      </c>
      <c r="M38" s="63" t="s">
        <v>174</v>
      </c>
      <c r="N38" s="46"/>
      <c r="O38" s="29" t="s">
        <v>102</v>
      </c>
      <c r="P38" s="29"/>
      <c r="Q38" s="29"/>
      <c r="R38" s="42" t="s">
        <v>103</v>
      </c>
      <c r="S38" s="48"/>
      <c r="T38" s="49">
        <f>$F12/T10</f>
        <v>79.533862266997446</v>
      </c>
    </row>
    <row r="39" spans="2:21" ht="11.1" customHeight="1">
      <c r="B39" s="23">
        <f>'Flowsheet Balance'!B42</f>
        <v>4760</v>
      </c>
      <c r="C39" s="64">
        <f>K39/K$51</f>
        <v>0</v>
      </c>
      <c r="D39" s="64">
        <f>1-C39</f>
        <v>1</v>
      </c>
      <c r="E39" s="64">
        <f>C39</f>
        <v>0</v>
      </c>
      <c r="F39" s="18"/>
      <c r="G39" s="18"/>
      <c r="H39" s="18"/>
      <c r="I39" s="252"/>
      <c r="J39" s="258"/>
      <c r="K39" s="23">
        <f>'Flowsheet Balance'!D68</f>
        <v>0</v>
      </c>
      <c r="L39" s="63">
        <f t="shared" ref="L39:L50" si="7">S22*K$51/100</f>
        <v>0</v>
      </c>
      <c r="M39" s="63">
        <f>K39-L39</f>
        <v>0</v>
      </c>
      <c r="N39" s="46"/>
      <c r="O39" s="29" t="s">
        <v>104</v>
      </c>
      <c r="P39" s="29"/>
      <c r="Q39" s="29"/>
      <c r="R39" s="60"/>
      <c r="S39" s="48"/>
      <c r="T39" s="81">
        <f>F13</f>
        <v>0.16257311424001308</v>
      </c>
    </row>
    <row r="40" spans="2:21" ht="11.1" customHeight="1" thickBot="1">
      <c r="B40" s="23">
        <f>'Flowsheet Balance'!B43</f>
        <v>2380</v>
      </c>
      <c r="C40" s="64">
        <f t="shared" ref="C40:C50" si="8">K40/K$51</f>
        <v>0</v>
      </c>
      <c r="D40" s="64">
        <f>D39-C40</f>
        <v>1</v>
      </c>
      <c r="E40" s="64">
        <f>E39+C40</f>
        <v>0</v>
      </c>
      <c r="F40" s="18"/>
      <c r="G40" s="18"/>
      <c r="H40" s="18"/>
      <c r="I40" s="252"/>
      <c r="J40" s="253"/>
      <c r="K40" s="23">
        <f>'Flowsheet Balance'!D69</f>
        <v>0</v>
      </c>
      <c r="L40" s="63">
        <f t="shared" si="7"/>
        <v>0</v>
      </c>
      <c r="M40" s="63">
        <f t="shared" ref="M40:M50" si="9">K40-L40</f>
        <v>0</v>
      </c>
      <c r="N40" s="57"/>
      <c r="O40" s="18" t="s">
        <v>105</v>
      </c>
      <c r="P40" s="18"/>
      <c r="Q40" s="18"/>
      <c r="R40" s="82"/>
      <c r="S40" s="20"/>
      <c r="T40" s="238">
        <f>(T36-1)/($F11*0.01602-1)</f>
        <v>6.7065505041945889E-2</v>
      </c>
    </row>
    <row r="41" spans="2:21" ht="11.1" customHeight="1">
      <c r="B41" s="23">
        <f>'Flowsheet Balance'!B44</f>
        <v>1190</v>
      </c>
      <c r="C41" s="64">
        <f t="shared" si="8"/>
        <v>0.29611231867279753</v>
      </c>
      <c r="D41" s="64">
        <f t="shared" ref="D41:D50" si="10">D40-C41</f>
        <v>0.70388768132720247</v>
      </c>
      <c r="E41" s="64">
        <f t="shared" ref="E41:E50" si="11">E40+C41</f>
        <v>0.29611231867279753</v>
      </c>
      <c r="F41" s="18"/>
      <c r="G41" s="18"/>
      <c r="H41" s="18"/>
      <c r="I41" s="252"/>
      <c r="J41" s="253"/>
      <c r="K41" s="23">
        <f>'Flowsheet Balance'!D70</f>
        <v>23.550956368883533</v>
      </c>
      <c r="L41" s="63">
        <f t="shared" si="7"/>
        <v>23.249795635983695</v>
      </c>
      <c r="M41" s="63">
        <f t="shared" si="9"/>
        <v>0.30116073289983802</v>
      </c>
      <c r="N41" s="28" t="s">
        <v>106</v>
      </c>
      <c r="O41" s="83" t="s">
        <v>99</v>
      </c>
      <c r="P41" s="83"/>
      <c r="Q41" s="83"/>
      <c r="R41" s="52" t="s">
        <v>61</v>
      </c>
      <c r="S41" s="245"/>
      <c r="T41" s="42">
        <f>T35-T47</f>
        <v>1505.276878706733</v>
      </c>
    </row>
    <row r="42" spans="2:21" ht="11.1" customHeight="1">
      <c r="B42" s="23">
        <f>'Flowsheet Balance'!B45</f>
        <v>595</v>
      </c>
      <c r="C42" s="64">
        <f t="shared" si="8"/>
        <v>0.23875487622368893</v>
      </c>
      <c r="D42" s="64">
        <f t="shared" si="10"/>
        <v>0.46513280510351351</v>
      </c>
      <c r="E42" s="64">
        <f t="shared" si="11"/>
        <v>0.53486719489648649</v>
      </c>
      <c r="F42" s="18"/>
      <c r="G42" s="18"/>
      <c r="H42" s="18"/>
      <c r="I42" s="252"/>
      <c r="J42" s="253"/>
      <c r="K42" s="23">
        <f>'Flowsheet Balance'!D71</f>
        <v>18.9890974411489</v>
      </c>
      <c r="L42" s="63">
        <f t="shared" si="7"/>
        <v>17.481796774554716</v>
      </c>
      <c r="M42" s="63">
        <f t="shared" si="9"/>
        <v>1.5073006665941833</v>
      </c>
      <c r="N42" s="46"/>
      <c r="O42" s="29" t="s">
        <v>100</v>
      </c>
      <c r="P42" s="29"/>
      <c r="Q42" s="29"/>
      <c r="R42" s="60"/>
      <c r="S42" s="48"/>
      <c r="T42" s="42">
        <f>($F11*0.01602)/(($F11*0.01602)+T45-($F11*0.01602)*T45)</f>
        <v>1.0012231027128962</v>
      </c>
    </row>
    <row r="43" spans="2:21" ht="11.1" customHeight="1">
      <c r="B43" s="23">
        <f>'Flowsheet Balance'!B46</f>
        <v>297</v>
      </c>
      <c r="C43" s="64">
        <f t="shared" si="8"/>
        <v>0.24654468000610955</v>
      </c>
      <c r="D43" s="64">
        <f t="shared" si="10"/>
        <v>0.21858812509740397</v>
      </c>
      <c r="E43" s="64">
        <f t="shared" si="11"/>
        <v>0.781411874902596</v>
      </c>
      <c r="F43" s="18"/>
      <c r="G43" s="18"/>
      <c r="H43" s="18"/>
      <c r="I43" s="252"/>
      <c r="J43" s="253"/>
      <c r="K43" s="23">
        <f>'Flowsheet Balance'!D72</f>
        <v>19.608650622266875</v>
      </c>
      <c r="L43" s="63">
        <f t="shared" si="7"/>
        <v>15.724800435062102</v>
      </c>
      <c r="M43" s="63">
        <f t="shared" si="9"/>
        <v>3.8838501872047733</v>
      </c>
      <c r="N43" s="46"/>
      <c r="O43" s="29" t="s">
        <v>101</v>
      </c>
      <c r="P43" s="29"/>
      <c r="Q43" s="29"/>
      <c r="R43" s="42" t="s">
        <v>61</v>
      </c>
      <c r="S43" s="48"/>
      <c r="T43" s="42">
        <f t="shared" ref="T43:T44" si="12">T37-T49</f>
        <v>1488.1393923098572</v>
      </c>
    </row>
    <row r="44" spans="2:21" ht="11.1" customHeight="1">
      <c r="B44" s="23">
        <f>'Flowsheet Balance'!B47</f>
        <v>149</v>
      </c>
      <c r="C44" s="64">
        <f t="shared" si="8"/>
        <v>0.15531948409365548</v>
      </c>
      <c r="D44" s="64">
        <f t="shared" si="10"/>
        <v>6.3268641003748488E-2</v>
      </c>
      <c r="E44" s="64">
        <f t="shared" si="11"/>
        <v>0.93673135899625148</v>
      </c>
      <c r="F44" s="18"/>
      <c r="G44" s="18"/>
      <c r="H44" s="18"/>
      <c r="I44" s="252"/>
      <c r="J44" s="253"/>
      <c r="K44" s="23">
        <f>'Flowsheet Balance'!D73</f>
        <v>12.353158455285895</v>
      </c>
      <c r="L44" s="63">
        <f t="shared" si="7"/>
        <v>8.4999743982637703</v>
      </c>
      <c r="M44" s="63">
        <f t="shared" si="9"/>
        <v>3.8531840570221245</v>
      </c>
      <c r="N44" s="46"/>
      <c r="O44" s="29" t="s">
        <v>102</v>
      </c>
      <c r="P44" s="29"/>
      <c r="Q44" s="29"/>
      <c r="R44" s="42" t="s">
        <v>103</v>
      </c>
      <c r="S44" s="48"/>
      <c r="T44" s="49">
        <f t="shared" si="12"/>
        <v>11.570201137352853</v>
      </c>
    </row>
    <row r="45" spans="2:21" ht="11.1" customHeight="1">
      <c r="B45" s="23">
        <f>'Flowsheet Balance'!B48</f>
        <v>74</v>
      </c>
      <c r="C45" s="64">
        <f t="shared" si="8"/>
        <v>5.7116674575729484E-2</v>
      </c>
      <c r="D45" s="64">
        <f t="shared" si="10"/>
        <v>6.151966428019004E-3</v>
      </c>
      <c r="E45" s="64">
        <f t="shared" si="11"/>
        <v>0.99384803357198093</v>
      </c>
      <c r="F45" s="18"/>
      <c r="G45" s="18"/>
      <c r="H45" s="18"/>
      <c r="I45" s="252"/>
      <c r="J45" s="253"/>
      <c r="K45" s="23">
        <f>'Flowsheet Balance'!D74</f>
        <v>4.5427097288549838</v>
      </c>
      <c r="L45" s="63">
        <f t="shared" si="7"/>
        <v>2.7590876689776342</v>
      </c>
      <c r="M45" s="63">
        <f t="shared" si="9"/>
        <v>1.7836220598773496</v>
      </c>
      <c r="N45" s="46"/>
      <c r="O45" s="29" t="s">
        <v>104</v>
      </c>
      <c r="P45" s="29"/>
      <c r="Q45" s="29"/>
      <c r="R45" s="60"/>
      <c r="S45" s="48"/>
      <c r="T45" s="81">
        <f>T44/(T44+4*T43)</f>
        <v>1.9399653365611766E-3</v>
      </c>
    </row>
    <row r="46" spans="2:21" ht="11.1" customHeight="1" thickBot="1">
      <c r="B46" s="23"/>
      <c r="C46" s="64">
        <f t="shared" si="8"/>
        <v>6.1519664280189025E-3</v>
      </c>
      <c r="D46" s="64">
        <f t="shared" si="10"/>
        <v>1.0148132334464322E-16</v>
      </c>
      <c r="E46" s="64">
        <f t="shared" si="11"/>
        <v>0.99999999999999978</v>
      </c>
      <c r="F46" s="18"/>
      <c r="G46" s="18"/>
      <c r="H46" s="18"/>
      <c r="I46" s="252"/>
      <c r="J46" s="253"/>
      <c r="K46" s="23">
        <f>'Flowsheet Balance'!D75</f>
        <v>0.48928965055724766</v>
      </c>
      <c r="L46" s="63">
        <f t="shared" si="7"/>
        <v>0.24820621680269275</v>
      </c>
      <c r="M46" s="63">
        <f t="shared" si="9"/>
        <v>0.2410834337545549</v>
      </c>
      <c r="N46" s="57"/>
      <c r="O46" s="18" t="s">
        <v>105</v>
      </c>
      <c r="P46" s="18"/>
      <c r="Q46" s="18"/>
      <c r="R46" s="82"/>
      <c r="S46" s="20"/>
      <c r="T46" s="238">
        <f>(T42-1)/($F11*0.01602-1)</f>
        <v>7.1923540053095176E-4</v>
      </c>
      <c r="U46" s="21"/>
    </row>
    <row r="47" spans="2:21" ht="11.1" customHeight="1">
      <c r="B47" s="25"/>
      <c r="C47" s="64">
        <f t="shared" si="8"/>
        <v>0</v>
      </c>
      <c r="D47" s="64">
        <f t="shared" si="10"/>
        <v>1.0148132334464322E-16</v>
      </c>
      <c r="E47" s="64">
        <f t="shared" si="11"/>
        <v>0.99999999999999978</v>
      </c>
      <c r="F47" s="18"/>
      <c r="G47" s="18"/>
      <c r="H47" s="18"/>
      <c r="I47" s="252"/>
      <c r="J47" s="253"/>
      <c r="K47" s="23">
        <f>'Flowsheet Balance'!D76</f>
        <v>0</v>
      </c>
      <c r="L47" s="63">
        <f t="shared" si="7"/>
        <v>0</v>
      </c>
      <c r="M47" s="63">
        <f t="shared" si="9"/>
        <v>0</v>
      </c>
      <c r="N47" s="28" t="s">
        <v>108</v>
      </c>
      <c r="O47" s="83" t="s">
        <v>99</v>
      </c>
      <c r="P47" s="83"/>
      <c r="Q47" s="83"/>
      <c r="R47" s="52" t="s">
        <v>61</v>
      </c>
      <c r="S47" s="244"/>
      <c r="T47" s="42">
        <f xml:space="preserve"> 14.351*K28^2.065</f>
        <v>251.26734250868597</v>
      </c>
      <c r="U47" s="21"/>
    </row>
    <row r="48" spans="2:21" ht="11.1" customHeight="1">
      <c r="B48" s="25"/>
      <c r="C48" s="64">
        <f t="shared" si="8"/>
        <v>0</v>
      </c>
      <c r="D48" s="64">
        <f t="shared" si="10"/>
        <v>1.0148132334464322E-16</v>
      </c>
      <c r="E48" s="64">
        <f t="shared" si="11"/>
        <v>0.99999999999999978</v>
      </c>
      <c r="F48" s="18"/>
      <c r="G48" s="18"/>
      <c r="H48" s="18"/>
      <c r="I48" s="252"/>
      <c r="J48" s="253"/>
      <c r="K48" s="23">
        <f>'Flowsheet Balance'!D77</f>
        <v>0</v>
      </c>
      <c r="L48" s="63">
        <f t="shared" si="7"/>
        <v>0</v>
      </c>
      <c r="M48" s="63">
        <f t="shared" si="9"/>
        <v>0</v>
      </c>
      <c r="N48" s="46"/>
      <c r="O48" s="29" t="s">
        <v>100</v>
      </c>
      <c r="P48" s="29"/>
      <c r="Q48" s="29"/>
      <c r="R48" s="60"/>
      <c r="S48" s="48"/>
      <c r="T48" s="42">
        <f>($F11*0.01602)/(($F11*0.01602)+T51-($F11*0.01602)*T51)</f>
        <v>1.6813006572281191</v>
      </c>
      <c r="U48" s="21"/>
    </row>
    <row r="49" spans="2:21" ht="11.1" customHeight="1">
      <c r="B49" s="23"/>
      <c r="C49" s="64">
        <f t="shared" si="8"/>
        <v>0</v>
      </c>
      <c r="D49" s="64">
        <f t="shared" si="10"/>
        <v>1.0148132334464322E-16</v>
      </c>
      <c r="E49" s="64">
        <f t="shared" si="11"/>
        <v>0.99999999999999978</v>
      </c>
      <c r="F49" s="18"/>
      <c r="G49" s="18"/>
      <c r="H49" s="18"/>
      <c r="I49" s="252"/>
      <c r="J49" s="253"/>
      <c r="K49" s="23">
        <f>'Flowsheet Balance'!D78</f>
        <v>0</v>
      </c>
      <c r="L49" s="63">
        <f t="shared" si="7"/>
        <v>0</v>
      </c>
      <c r="M49" s="63">
        <f t="shared" si="9"/>
        <v>0</v>
      </c>
      <c r="N49" s="46"/>
      <c r="O49" s="29" t="s">
        <v>101</v>
      </c>
      <c r="P49" s="29"/>
      <c r="Q49" s="29"/>
      <c r="R49" s="42" t="s">
        <v>61</v>
      </c>
      <c r="S49" s="48"/>
      <c r="T49" s="42">
        <f>T47-(T50*4/($F11*0.01602))</f>
        <v>150.60130358123826</v>
      </c>
      <c r="U49" s="21"/>
    </row>
    <row r="50" spans="2:21" ht="11.1" customHeight="1" thickBot="1">
      <c r="B50" s="25"/>
      <c r="C50" s="64">
        <f t="shared" si="8"/>
        <v>0</v>
      </c>
      <c r="D50" s="64">
        <f t="shared" si="10"/>
        <v>1.0148132334464322E-16</v>
      </c>
      <c r="E50" s="64">
        <f t="shared" si="11"/>
        <v>0.99999999999999978</v>
      </c>
      <c r="F50" s="18"/>
      <c r="G50" s="18"/>
      <c r="H50" s="18"/>
      <c r="I50" s="252"/>
      <c r="J50" s="253"/>
      <c r="K50" s="23">
        <v>0</v>
      </c>
      <c r="L50" s="63">
        <f t="shared" si="7"/>
        <v>0</v>
      </c>
      <c r="M50" s="63">
        <f t="shared" si="9"/>
        <v>0</v>
      </c>
      <c r="N50" s="46"/>
      <c r="O50" s="29" t="s">
        <v>102</v>
      </c>
      <c r="P50" s="29"/>
      <c r="Q50" s="29"/>
      <c r="R50" s="42" t="s">
        <v>103</v>
      </c>
      <c r="S50" s="48"/>
      <c r="T50" s="49">
        <f>T34</f>
        <v>67.963661129644592</v>
      </c>
      <c r="U50" s="21"/>
    </row>
    <row r="51" spans="2:21" ht="11.1" customHeight="1">
      <c r="B51" s="84"/>
      <c r="C51" s="85"/>
      <c r="D51" s="86"/>
      <c r="E51" s="86"/>
      <c r="F51" s="18"/>
      <c r="G51" s="18"/>
      <c r="H51" s="18"/>
      <c r="I51" s="254"/>
      <c r="J51" s="255"/>
      <c r="K51" s="63">
        <f>SUM(K39:K50)</f>
        <v>79.533862266997446</v>
      </c>
      <c r="L51" s="63">
        <f>SUM(L39:L50)</f>
        <v>67.963661129644592</v>
      </c>
      <c r="M51" s="63">
        <f>SUM(M39:M50)</f>
        <v>11.570201137352823</v>
      </c>
      <c r="N51" s="46"/>
      <c r="O51" s="29" t="s">
        <v>104</v>
      </c>
      <c r="P51" s="29"/>
      <c r="Q51" s="29"/>
      <c r="R51" s="42"/>
      <c r="S51" s="48"/>
      <c r="T51" s="81">
        <f>T50/(T50+T49/4)</f>
        <v>0.64351004108562193</v>
      </c>
      <c r="U51" s="21"/>
    </row>
    <row r="52" spans="2:21" ht="11.1" customHeight="1">
      <c r="B52" s="87"/>
      <c r="C52" s="88"/>
      <c r="D52" s="89"/>
      <c r="E52" s="89"/>
      <c r="F52" s="18"/>
      <c r="G52" s="18"/>
      <c r="H52" s="18"/>
      <c r="I52" s="18"/>
      <c r="J52" s="18"/>
      <c r="K52" s="18"/>
      <c r="L52" s="18"/>
      <c r="M52" s="76"/>
      <c r="N52" s="46"/>
      <c r="O52" s="29" t="s">
        <v>105</v>
      </c>
      <c r="P52" s="29"/>
      <c r="Q52" s="29"/>
      <c r="R52" s="42"/>
      <c r="S52" s="48"/>
      <c r="T52" s="81">
        <f>(T48-1)/($F11*0.01602-1)</f>
        <v>0.40063319778203099</v>
      </c>
      <c r="U52" s="21"/>
    </row>
    <row r="53" spans="2:21" ht="11.1" customHeight="1" thickBot="1">
      <c r="B53" s="90"/>
      <c r="C53" s="91"/>
      <c r="D53" s="92"/>
      <c r="E53" s="92"/>
      <c r="F53" s="92"/>
      <c r="G53" s="92"/>
      <c r="H53" s="93"/>
      <c r="I53" s="93"/>
      <c r="J53" s="93"/>
      <c r="K53" s="93"/>
      <c r="L53" s="93"/>
      <c r="M53" s="94"/>
      <c r="N53" s="33"/>
      <c r="O53" s="34"/>
      <c r="P53" s="34"/>
      <c r="Q53" s="34"/>
      <c r="R53" s="70"/>
      <c r="S53" s="71"/>
      <c r="T53" s="239"/>
      <c r="U53" s="21"/>
    </row>
    <row r="54" spans="2:21" ht="11.1" customHeight="1">
      <c r="B54" s="22"/>
      <c r="C54" s="22"/>
      <c r="D54" s="22"/>
      <c r="E54" s="22"/>
      <c r="F54" s="22"/>
      <c r="G54" s="22"/>
      <c r="H54" s="22"/>
      <c r="I54" s="95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1"/>
    </row>
    <row r="55" spans="2:21" ht="11.1" customHeight="1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O55" s="21"/>
      <c r="R55" s="21"/>
      <c r="S55" s="21"/>
      <c r="T55" s="22"/>
    </row>
    <row r="56" spans="2:21" ht="11.1" customHeight="1">
      <c r="O56" s="22"/>
      <c r="R56" s="22"/>
      <c r="S56" s="22"/>
      <c r="T56" s="22"/>
    </row>
    <row r="57" spans="2:21" ht="11.1" customHeight="1">
      <c r="N57" s="21"/>
      <c r="O57" s="21"/>
      <c r="P57" s="21"/>
      <c r="Q57" s="240"/>
      <c r="R57" s="21"/>
      <c r="S57" s="22"/>
      <c r="T57" s="22"/>
    </row>
    <row r="58" spans="2:21" ht="11.1" customHeight="1">
      <c r="N58" s="21"/>
      <c r="O58" s="21"/>
      <c r="P58" s="21"/>
      <c r="Q58" s="240"/>
      <c r="R58" s="21"/>
      <c r="S58" s="22"/>
      <c r="T58" s="22"/>
    </row>
    <row r="59" spans="2:21" ht="11.1" customHeight="1">
      <c r="N59" s="21"/>
      <c r="O59" s="21"/>
      <c r="P59" s="21"/>
      <c r="Q59" s="240"/>
      <c r="R59" s="21"/>
      <c r="S59" s="22"/>
      <c r="T59" s="22"/>
    </row>
    <row r="60" spans="2:21" ht="11.1" customHeight="1">
      <c r="N60" s="21"/>
      <c r="O60" s="21"/>
      <c r="P60" s="21"/>
      <c r="Q60" s="240"/>
      <c r="R60" s="21"/>
      <c r="S60" s="22"/>
      <c r="T60" s="22"/>
    </row>
    <row r="61" spans="2:21" ht="11.1" customHeight="1">
      <c r="N61" s="21"/>
      <c r="O61" s="21"/>
      <c r="P61" s="21"/>
      <c r="Q61" s="240"/>
      <c r="R61" s="21"/>
      <c r="S61" s="22"/>
      <c r="T61" s="22"/>
    </row>
    <row r="62" spans="2:21" ht="11.1" customHeight="1">
      <c r="N62" s="21"/>
      <c r="O62" s="21"/>
      <c r="P62" s="21"/>
      <c r="Q62" s="240"/>
      <c r="R62" s="21"/>
      <c r="S62" s="22"/>
      <c r="T62" s="22"/>
    </row>
    <row r="63" spans="2:21" ht="11.1" customHeight="1">
      <c r="N63" s="21"/>
      <c r="O63" s="21"/>
      <c r="P63" s="21"/>
      <c r="Q63" s="21"/>
      <c r="R63" s="21"/>
      <c r="S63" s="21"/>
      <c r="T63" s="21"/>
    </row>
    <row r="64" spans="2:21" ht="11.1" customHeight="1">
      <c r="N64" s="21"/>
      <c r="O64" s="21"/>
      <c r="P64" s="21"/>
      <c r="Q64" s="21"/>
      <c r="R64" s="21"/>
      <c r="S64" s="21"/>
      <c r="T64" s="21"/>
    </row>
    <row r="65" spans="14:20" ht="11.1" customHeight="1">
      <c r="N65" s="22"/>
      <c r="O65" s="22"/>
      <c r="P65" s="22"/>
      <c r="Q65" s="22"/>
      <c r="R65" s="22"/>
      <c r="S65" s="22"/>
      <c r="T65" s="22"/>
    </row>
    <row r="66" spans="14:20" ht="11.1" customHeight="1">
      <c r="N66" s="22"/>
      <c r="O66" s="22"/>
      <c r="P66" s="22"/>
      <c r="Q66" s="22"/>
      <c r="R66" s="22"/>
      <c r="S66" s="22"/>
      <c r="T66" s="22"/>
    </row>
    <row r="67" spans="14:20" ht="11.1" customHeight="1">
      <c r="N67" s="22"/>
      <c r="O67" s="22"/>
      <c r="P67" s="22"/>
      <c r="Q67" s="22"/>
      <c r="R67" s="22"/>
      <c r="S67" s="22"/>
      <c r="T67" s="22"/>
    </row>
    <row r="68" spans="14:20" ht="11.1" customHeight="1">
      <c r="N68" s="22"/>
      <c r="O68" s="22"/>
      <c r="P68" s="22"/>
      <c r="Q68" s="22"/>
      <c r="R68" s="22"/>
      <c r="S68" s="22"/>
      <c r="T68" s="22"/>
    </row>
    <row r="69" spans="14:20" ht="11.1" customHeight="1">
      <c r="N69" s="22"/>
      <c r="O69" s="22"/>
      <c r="P69" s="22"/>
      <c r="Q69" s="22"/>
      <c r="R69" s="22"/>
      <c r="S69" s="22"/>
      <c r="T69" s="22"/>
    </row>
    <row r="70" spans="14:20" ht="11.1" customHeight="1">
      <c r="N70" s="22"/>
      <c r="O70" s="22"/>
      <c r="P70" s="22"/>
      <c r="Q70" s="22"/>
      <c r="R70" s="22"/>
      <c r="S70" s="22"/>
      <c r="T70" s="22"/>
    </row>
    <row r="71" spans="14:20" ht="11.1" customHeight="1">
      <c r="N71" s="22"/>
      <c r="O71" s="22"/>
      <c r="P71" s="22"/>
      <c r="Q71" s="22"/>
      <c r="R71" s="22"/>
      <c r="S71" s="22"/>
      <c r="T71" s="22"/>
    </row>
    <row r="72" spans="14:20" ht="11.1" customHeight="1">
      <c r="N72" s="22"/>
      <c r="O72" s="22"/>
      <c r="P72" s="22"/>
      <c r="Q72" s="22"/>
      <c r="R72" s="22"/>
      <c r="S72" s="22"/>
      <c r="T72" s="22"/>
    </row>
    <row r="73" spans="14:20" ht="11.1" customHeight="1">
      <c r="N73" s="231"/>
      <c r="O73" s="233"/>
      <c r="P73" s="21"/>
      <c r="Q73" s="21"/>
      <c r="R73" s="21"/>
      <c r="S73" s="21"/>
      <c r="T73" s="21"/>
    </row>
    <row r="74" spans="14:20" ht="11.1" customHeight="1">
      <c r="N74" s="231"/>
      <c r="O74" s="233"/>
      <c r="P74" s="21"/>
      <c r="Q74" s="21"/>
      <c r="R74" s="21"/>
      <c r="S74" s="21"/>
      <c r="T74" s="21"/>
    </row>
    <row r="75" spans="14:20" ht="11.1" customHeight="1">
      <c r="N75" s="231"/>
      <c r="O75" s="233"/>
      <c r="P75" s="21"/>
      <c r="Q75" s="21"/>
      <c r="R75" s="21"/>
      <c r="S75" s="21"/>
      <c r="T75" s="21"/>
    </row>
    <row r="76" spans="14:20" ht="11.1" customHeight="1">
      <c r="N76" s="231"/>
      <c r="O76" s="233"/>
      <c r="P76" s="21"/>
      <c r="Q76" s="21"/>
      <c r="R76" s="21"/>
      <c r="S76" s="21"/>
      <c r="T76" s="21"/>
    </row>
    <row r="77" spans="14:20" ht="11.1" customHeight="1">
      <c r="N77" s="21"/>
      <c r="O77" s="21"/>
      <c r="P77" s="21"/>
      <c r="Q77" s="21"/>
      <c r="R77" s="21"/>
      <c r="S77" s="21"/>
      <c r="T77" s="21"/>
    </row>
    <row r="78" spans="14:20" ht="11.1" customHeight="1">
      <c r="N78" s="21"/>
      <c r="O78" s="233"/>
      <c r="P78" s="21"/>
      <c r="Q78" s="21"/>
      <c r="R78" s="21"/>
      <c r="S78" s="21"/>
      <c r="T78" s="21"/>
    </row>
    <row r="79" spans="14:20" ht="11.1" customHeight="1">
      <c r="N79" s="21"/>
      <c r="O79" s="233"/>
      <c r="P79" s="21"/>
      <c r="Q79" s="21"/>
      <c r="R79" s="21"/>
      <c r="S79" s="21"/>
      <c r="T79" s="21"/>
    </row>
    <row r="80" spans="14:20" ht="11.1" customHeight="1">
      <c r="N80" s="21"/>
      <c r="O80" s="233"/>
      <c r="P80" s="21"/>
      <c r="Q80" s="21"/>
      <c r="R80" s="21"/>
      <c r="S80" s="21"/>
      <c r="T80" s="21"/>
    </row>
    <row r="81" spans="14:20" ht="11.1" customHeight="1">
      <c r="N81" s="21"/>
      <c r="O81" s="233"/>
      <c r="P81" s="21"/>
      <c r="Q81" s="21"/>
      <c r="R81" s="21"/>
      <c r="S81" s="21"/>
      <c r="T81" s="21"/>
    </row>
    <row r="82" spans="14:20" ht="11.1" customHeight="1">
      <c r="N82" s="21"/>
      <c r="O82" s="233"/>
      <c r="P82" s="21"/>
      <c r="Q82" s="21"/>
      <c r="R82" s="21"/>
      <c r="S82" s="21"/>
      <c r="T82" s="21"/>
    </row>
    <row r="83" spans="14:20" ht="11.1" customHeight="1">
      <c r="N83" s="21"/>
      <c r="O83" s="233"/>
      <c r="P83" s="21"/>
      <c r="Q83" s="21"/>
      <c r="R83" s="21"/>
      <c r="S83" s="21"/>
      <c r="T83" s="21"/>
    </row>
    <row r="84" spans="14:20" ht="11.1" customHeight="1">
      <c r="N84" s="21"/>
      <c r="O84" s="233"/>
      <c r="P84" s="21"/>
      <c r="Q84" s="21"/>
      <c r="R84" s="21"/>
      <c r="S84" s="21"/>
      <c r="T84" s="21"/>
    </row>
    <row r="85" spans="14:20" ht="11.1" customHeight="1">
      <c r="N85" s="21"/>
      <c r="O85" s="233"/>
      <c r="P85" s="21"/>
      <c r="Q85" s="21"/>
      <c r="R85" s="21"/>
      <c r="S85" s="21"/>
      <c r="T85" s="21"/>
    </row>
    <row r="86" spans="14:20" ht="11.1" customHeight="1">
      <c r="N86" s="21"/>
      <c r="O86" s="233"/>
      <c r="P86" s="21"/>
      <c r="Q86" s="21"/>
      <c r="R86" s="21"/>
      <c r="S86" s="21"/>
      <c r="T86" s="21"/>
    </row>
    <row r="87" spans="14:20" ht="11.1" customHeight="1">
      <c r="N87" s="21"/>
      <c r="O87" s="233"/>
      <c r="P87" s="21"/>
      <c r="Q87" s="21"/>
      <c r="R87" s="21"/>
      <c r="S87" s="21"/>
      <c r="T87" s="21"/>
    </row>
    <row r="88" spans="14:20" ht="11.1" customHeight="1">
      <c r="N88" s="21"/>
      <c r="O88" s="233"/>
      <c r="P88" s="21"/>
      <c r="Q88" s="21"/>
      <c r="R88" s="21"/>
      <c r="S88" s="21"/>
      <c r="T88" s="21"/>
    </row>
    <row r="89" spans="14:20" ht="11.1" customHeight="1">
      <c r="N89" s="21"/>
      <c r="O89" s="233"/>
      <c r="P89" s="21"/>
      <c r="Q89" s="21"/>
      <c r="R89" s="21"/>
      <c r="S89" s="21"/>
      <c r="T89" s="21"/>
    </row>
    <row r="90" spans="14:20" ht="11.1" customHeight="1">
      <c r="N90" s="21"/>
      <c r="O90" s="21"/>
      <c r="P90" s="21"/>
      <c r="Q90" s="21"/>
      <c r="R90" s="21"/>
      <c r="S90" s="21"/>
      <c r="T90" s="21"/>
    </row>
    <row r="91" spans="14:20" ht="11.1" customHeight="1">
      <c r="N91" s="21"/>
      <c r="O91" s="241"/>
      <c r="P91" s="21"/>
      <c r="Q91" s="21"/>
      <c r="R91" s="21"/>
      <c r="S91" s="21"/>
      <c r="T91" s="21"/>
    </row>
    <row r="92" spans="14:20" ht="11.1" customHeight="1">
      <c r="N92" s="21"/>
      <c r="O92" s="21"/>
      <c r="P92" s="21"/>
      <c r="Q92" s="21"/>
      <c r="R92" s="21"/>
      <c r="S92" s="21"/>
      <c r="T92" s="21"/>
    </row>
    <row r="93" spans="14:20" ht="11.1" customHeight="1">
      <c r="N93" s="21"/>
      <c r="O93" s="21"/>
      <c r="P93" s="21"/>
      <c r="Q93" s="21"/>
      <c r="R93" s="21"/>
      <c r="S93" s="21"/>
      <c r="T93" s="21"/>
    </row>
    <row r="94" spans="14:20" ht="11.1" customHeight="1">
      <c r="N94" s="21"/>
      <c r="O94" s="21"/>
      <c r="P94" s="21"/>
      <c r="Q94" s="21"/>
      <c r="R94" s="21"/>
      <c r="S94" s="21"/>
      <c r="T94" s="21"/>
    </row>
    <row r="95" spans="14:20" ht="11.1" customHeight="1">
      <c r="N95" s="21"/>
      <c r="O95" s="21"/>
      <c r="P95" s="21"/>
      <c r="Q95" s="21"/>
      <c r="R95" s="21"/>
      <c r="S95" s="21"/>
      <c r="T95" s="21"/>
    </row>
    <row r="96" spans="14:20" ht="11.1" customHeight="1">
      <c r="N96" s="21"/>
      <c r="O96" s="21"/>
      <c r="P96" s="21"/>
      <c r="Q96" s="21"/>
      <c r="R96" s="21"/>
      <c r="S96" s="21"/>
      <c r="T96" s="21"/>
    </row>
    <row r="97" spans="14:20" ht="11.1" customHeight="1">
      <c r="N97" s="21"/>
      <c r="O97" s="21"/>
      <c r="P97" s="21"/>
      <c r="Q97" s="21"/>
      <c r="R97" s="21"/>
      <c r="S97" s="21"/>
      <c r="T97" s="21"/>
    </row>
    <row r="98" spans="14:20" ht="11.1" customHeight="1">
      <c r="N98" s="21"/>
      <c r="O98" s="21"/>
      <c r="P98" s="21"/>
      <c r="Q98" s="21"/>
      <c r="R98" s="21"/>
      <c r="S98" s="21"/>
      <c r="T98" s="21"/>
    </row>
    <row r="99" spans="14:20" ht="11.1" customHeight="1">
      <c r="N99" s="21"/>
      <c r="O99" s="21"/>
      <c r="P99" s="21"/>
      <c r="Q99" s="21"/>
      <c r="R99" s="21"/>
      <c r="S99" s="21"/>
      <c r="T99" s="21"/>
    </row>
    <row r="100" spans="14:20" ht="11.1" customHeight="1">
      <c r="N100" s="21"/>
      <c r="O100" s="21"/>
      <c r="P100" s="21"/>
      <c r="Q100" s="21"/>
      <c r="R100" s="21"/>
      <c r="S100" s="21"/>
      <c r="T100" s="21"/>
    </row>
    <row r="101" spans="14:20" ht="11.1" customHeight="1">
      <c r="N101" s="21"/>
      <c r="O101" s="21"/>
      <c r="P101" s="21"/>
      <c r="Q101" s="21"/>
      <c r="R101" s="21"/>
      <c r="S101" s="21"/>
      <c r="T101" s="21"/>
    </row>
    <row r="102" spans="14:20" ht="11.1" customHeight="1">
      <c r="N102" s="21"/>
      <c r="O102" s="21"/>
      <c r="P102" s="21"/>
      <c r="Q102" s="21"/>
      <c r="R102" s="21"/>
      <c r="S102" s="21"/>
      <c r="T102" s="21"/>
    </row>
    <row r="105" spans="14:20" ht="11.1" customHeight="1"/>
    <row r="106" spans="14:20" ht="11.1" customHeight="1"/>
    <row r="107" spans="14:20" ht="11.1" customHeight="1"/>
    <row r="108" spans="14:20" ht="11.1" customHeight="1"/>
    <row r="109" spans="14:20" ht="11.1" customHeight="1"/>
    <row r="110" spans="14:20" ht="11.1" customHeight="1"/>
    <row r="111" spans="14:20" ht="11.1" customHeight="1"/>
    <row r="112" spans="14:20" ht="11.1" customHeight="1"/>
    <row r="113" spans="14:15" ht="11.1" customHeight="1"/>
    <row r="114" spans="14:15" ht="11.1" customHeight="1"/>
    <row r="115" spans="14:15" ht="11.1" customHeight="1"/>
    <row r="116" spans="14:15" ht="11.1" customHeight="1"/>
    <row r="117" spans="14:15" ht="11.1" customHeight="1"/>
    <row r="118" spans="14:15" ht="11.1" customHeight="1"/>
    <row r="119" spans="14:15" ht="11.1" customHeight="1"/>
    <row r="120" spans="14:15" ht="11.1" customHeight="1"/>
    <row r="121" spans="14:15" ht="11.1" customHeight="1"/>
    <row r="122" spans="14:15" ht="11.1" customHeight="1"/>
    <row r="123" spans="14:15" ht="11.1" customHeight="1"/>
    <row r="124" spans="14:15" ht="11.1" customHeight="1">
      <c r="N124" s="21"/>
    </row>
    <row r="125" spans="14:15" ht="11.1" customHeight="1">
      <c r="N125" s="21"/>
      <c r="O125" s="21"/>
    </row>
    <row r="126" spans="14:15" ht="11.1" customHeight="1">
      <c r="N126" s="21"/>
      <c r="O126" s="21"/>
    </row>
    <row r="127" spans="14:15" ht="11.1" customHeight="1">
      <c r="N127" s="21"/>
      <c r="O127" s="21"/>
    </row>
    <row r="128" spans="14:15" ht="11.1" customHeight="1">
      <c r="N128" s="21"/>
      <c r="O128" s="21"/>
    </row>
    <row r="129" spans="14:17" ht="11.1" customHeight="1">
      <c r="N129" s="21"/>
      <c r="O129" s="21"/>
    </row>
    <row r="130" spans="14:17" ht="11.1" customHeight="1">
      <c r="N130" s="21"/>
      <c r="O130" s="21"/>
    </row>
    <row r="131" spans="14:17" ht="11.1" customHeight="1">
      <c r="N131" s="21"/>
      <c r="O131" s="21"/>
    </row>
    <row r="132" spans="14:17" ht="11.1" customHeight="1">
      <c r="N132" s="21"/>
      <c r="O132" s="21"/>
    </row>
    <row r="133" spans="14:17" ht="11.1" customHeight="1">
      <c r="N133" s="21"/>
      <c r="O133" s="21"/>
    </row>
    <row r="134" spans="14:17" ht="11.1" customHeight="1">
      <c r="N134" s="21"/>
      <c r="O134" s="21"/>
    </row>
    <row r="135" spans="14:17">
      <c r="N135" s="21"/>
      <c r="O135" s="21"/>
    </row>
    <row r="136" spans="14:17">
      <c r="N136" s="21"/>
      <c r="O136" s="21"/>
    </row>
    <row r="137" spans="14:17">
      <c r="N137" s="21"/>
      <c r="O137" s="21"/>
    </row>
    <row r="138" spans="14:17">
      <c r="N138" s="21"/>
      <c r="O138" s="21"/>
    </row>
    <row r="139" spans="14:17">
      <c r="N139" s="21"/>
      <c r="O139" s="21"/>
    </row>
    <row r="140" spans="14:17">
      <c r="N140" s="21"/>
      <c r="O140" s="21"/>
    </row>
    <row r="141" spans="14:17">
      <c r="N141" s="21"/>
      <c r="O141" s="21"/>
      <c r="P141" s="21"/>
    </row>
    <row r="142" spans="14:17">
      <c r="N142" s="21"/>
      <c r="O142" s="21"/>
      <c r="P142" s="21"/>
    </row>
    <row r="143" spans="14:17">
      <c r="N143" s="21"/>
      <c r="O143" s="21"/>
      <c r="P143" s="21"/>
      <c r="Q143" s="21"/>
    </row>
    <row r="144" spans="14:17">
      <c r="N144" s="21"/>
      <c r="O144" s="21"/>
      <c r="P144" s="21"/>
      <c r="Q144" s="21"/>
    </row>
    <row r="145" spans="14:17">
      <c r="N145" s="21"/>
      <c r="O145" s="21"/>
      <c r="P145" s="21"/>
      <c r="Q145" s="21"/>
    </row>
    <row r="146" spans="14:17">
      <c r="N146" s="21"/>
      <c r="O146" s="21"/>
      <c r="P146" s="21"/>
      <c r="Q146" s="21"/>
    </row>
    <row r="147" spans="14:17">
      <c r="N147" s="21"/>
      <c r="O147" s="21"/>
      <c r="P147" s="21"/>
      <c r="Q147" s="21"/>
    </row>
    <row r="148" spans="14:17">
      <c r="N148" s="21"/>
      <c r="O148" s="21"/>
      <c r="P148" s="21"/>
      <c r="Q148" s="21"/>
    </row>
    <row r="149" spans="14:17">
      <c r="N149" s="21"/>
      <c r="O149" s="21"/>
      <c r="P149" s="21"/>
      <c r="Q149" s="21"/>
    </row>
    <row r="150" spans="14:17">
      <c r="N150" s="21"/>
      <c r="O150" s="21"/>
      <c r="P150" s="21"/>
      <c r="Q150" s="21"/>
    </row>
    <row r="163" spans="1:13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1:13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1:13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</row>
    <row r="167" spans="1:1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</row>
    <row r="168" spans="1:1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</row>
    <row r="169" spans="1:1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</row>
    <row r="170" spans="1:1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</row>
    <row r="171" spans="1:1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</row>
    <row r="172" spans="1:1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</row>
    <row r="173" spans="1:1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</row>
    <row r="174" spans="1:1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</row>
    <row r="175" spans="1:1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</row>
    <row r="176" spans="1:1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</row>
    <row r="177" spans="1:1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</row>
    <row r="178" spans="1:1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</row>
    <row r="179" spans="1:1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</row>
    <row r="180" spans="1:1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</row>
    <row r="182" spans="1:1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</row>
    <row r="183" spans="1:1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  <row r="184" spans="1:1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</row>
    <row r="185" spans="1:1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</row>
    <row r="186" spans="1:1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1:1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1:1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</row>
    <row r="189" spans="1:1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</row>
    <row r="190" spans="1:1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1:1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1:1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</row>
    <row r="197" spans="1:1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1:1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</row>
    <row r="200" spans="1:1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</row>
    <row r="201" spans="1:1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1:1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</row>
    <row r="203" spans="1:13">
      <c r="A203" s="21"/>
    </row>
    <row r="204" spans="1:13">
      <c r="A204" s="21"/>
    </row>
    <row r="205" spans="1:13">
      <c r="A205" s="21"/>
    </row>
    <row r="206" spans="1:13">
      <c r="A206" s="21"/>
    </row>
  </sheetData>
  <mergeCells count="11">
    <mergeCell ref="F11:H11"/>
    <mergeCell ref="F12:H12"/>
    <mergeCell ref="F13:H13"/>
    <mergeCell ref="B14:M14"/>
    <mergeCell ref="B36:M36"/>
    <mergeCell ref="F10:H10"/>
    <mergeCell ref="E3:G3"/>
    <mergeCell ref="D6:H6"/>
    <mergeCell ref="I6:M8"/>
    <mergeCell ref="D7:H7"/>
    <mergeCell ref="D8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8"/>
  <sheetViews>
    <sheetView workbookViewId="0">
      <selection activeCell="B3" sqref="B3"/>
    </sheetView>
  </sheetViews>
  <sheetFormatPr defaultColWidth="9.109375" defaultRowHeight="10.199999999999999"/>
  <cols>
    <col min="1" max="1" width="3.6640625" style="21" customWidth="1"/>
    <col min="2" max="2" width="27.5546875" style="21" customWidth="1"/>
    <col min="3" max="3" width="5.6640625" style="303" customWidth="1"/>
    <col min="4" max="4" width="9.5546875" style="21" bestFit="1" customWidth="1"/>
    <col min="5" max="8" width="7.77734375" style="21" customWidth="1"/>
    <col min="9" max="14" width="6.21875" style="21" customWidth="1"/>
    <col min="15" max="255" width="9.109375" style="21"/>
    <col min="256" max="256" width="3.6640625" style="21" customWidth="1"/>
    <col min="257" max="257" width="33.21875" style="21" customWidth="1"/>
    <col min="258" max="258" width="9.109375" style="21"/>
    <col min="259" max="259" width="9.5546875" style="21" bestFit="1" customWidth="1"/>
    <col min="260" max="262" width="9.109375" style="21"/>
    <col min="263" max="263" width="10.33203125" style="21" customWidth="1"/>
    <col min="264" max="264" width="7" style="21" customWidth="1"/>
    <col min="265" max="266" width="9.109375" style="21"/>
    <col min="267" max="267" width="6.5546875" style="21" customWidth="1"/>
    <col min="268" max="511" width="9.109375" style="21"/>
    <col min="512" max="512" width="3.6640625" style="21" customWidth="1"/>
    <col min="513" max="513" width="33.21875" style="21" customWidth="1"/>
    <col min="514" max="514" width="9.109375" style="21"/>
    <col min="515" max="515" width="9.5546875" style="21" bestFit="1" customWidth="1"/>
    <col min="516" max="518" width="9.109375" style="21"/>
    <col min="519" max="519" width="10.33203125" style="21" customWidth="1"/>
    <col min="520" max="520" width="7" style="21" customWidth="1"/>
    <col min="521" max="522" width="9.109375" style="21"/>
    <col min="523" max="523" width="6.5546875" style="21" customWidth="1"/>
    <col min="524" max="767" width="9.109375" style="21"/>
    <col min="768" max="768" width="3.6640625" style="21" customWidth="1"/>
    <col min="769" max="769" width="33.21875" style="21" customWidth="1"/>
    <col min="770" max="770" width="9.109375" style="21"/>
    <col min="771" max="771" width="9.5546875" style="21" bestFit="1" customWidth="1"/>
    <col min="772" max="774" width="9.109375" style="21"/>
    <col min="775" max="775" width="10.33203125" style="21" customWidth="1"/>
    <col min="776" max="776" width="7" style="21" customWidth="1"/>
    <col min="777" max="778" width="9.109375" style="21"/>
    <col min="779" max="779" width="6.5546875" style="21" customWidth="1"/>
    <col min="780" max="1023" width="9.109375" style="21"/>
    <col min="1024" max="1024" width="3.6640625" style="21" customWidth="1"/>
    <col min="1025" max="1025" width="33.21875" style="21" customWidth="1"/>
    <col min="1026" max="1026" width="9.109375" style="21"/>
    <col min="1027" max="1027" width="9.5546875" style="21" bestFit="1" customWidth="1"/>
    <col min="1028" max="1030" width="9.109375" style="21"/>
    <col min="1031" max="1031" width="10.33203125" style="21" customWidth="1"/>
    <col min="1032" max="1032" width="7" style="21" customWidth="1"/>
    <col min="1033" max="1034" width="9.109375" style="21"/>
    <col min="1035" max="1035" width="6.5546875" style="21" customWidth="1"/>
    <col min="1036" max="1279" width="9.109375" style="21"/>
    <col min="1280" max="1280" width="3.6640625" style="21" customWidth="1"/>
    <col min="1281" max="1281" width="33.21875" style="21" customWidth="1"/>
    <col min="1282" max="1282" width="9.109375" style="21"/>
    <col min="1283" max="1283" width="9.5546875" style="21" bestFit="1" customWidth="1"/>
    <col min="1284" max="1286" width="9.109375" style="21"/>
    <col min="1287" max="1287" width="10.33203125" style="21" customWidth="1"/>
    <col min="1288" max="1288" width="7" style="21" customWidth="1"/>
    <col min="1289" max="1290" width="9.109375" style="21"/>
    <col min="1291" max="1291" width="6.5546875" style="21" customWidth="1"/>
    <col min="1292" max="1535" width="9.109375" style="21"/>
    <col min="1536" max="1536" width="3.6640625" style="21" customWidth="1"/>
    <col min="1537" max="1537" width="33.21875" style="21" customWidth="1"/>
    <col min="1538" max="1538" width="9.109375" style="21"/>
    <col min="1539" max="1539" width="9.5546875" style="21" bestFit="1" customWidth="1"/>
    <col min="1540" max="1542" width="9.109375" style="21"/>
    <col min="1543" max="1543" width="10.33203125" style="21" customWidth="1"/>
    <col min="1544" max="1544" width="7" style="21" customWidth="1"/>
    <col min="1545" max="1546" width="9.109375" style="21"/>
    <col min="1547" max="1547" width="6.5546875" style="21" customWidth="1"/>
    <col min="1548" max="1791" width="9.109375" style="21"/>
    <col min="1792" max="1792" width="3.6640625" style="21" customWidth="1"/>
    <col min="1793" max="1793" width="33.21875" style="21" customWidth="1"/>
    <col min="1794" max="1794" width="9.109375" style="21"/>
    <col min="1795" max="1795" width="9.5546875" style="21" bestFit="1" customWidth="1"/>
    <col min="1796" max="1798" width="9.109375" style="21"/>
    <col min="1799" max="1799" width="10.33203125" style="21" customWidth="1"/>
    <col min="1800" max="1800" width="7" style="21" customWidth="1"/>
    <col min="1801" max="1802" width="9.109375" style="21"/>
    <col min="1803" max="1803" width="6.5546875" style="21" customWidth="1"/>
    <col min="1804" max="2047" width="9.109375" style="21"/>
    <col min="2048" max="2048" width="3.6640625" style="21" customWidth="1"/>
    <col min="2049" max="2049" width="33.21875" style="21" customWidth="1"/>
    <col min="2050" max="2050" width="9.109375" style="21"/>
    <col min="2051" max="2051" width="9.5546875" style="21" bestFit="1" customWidth="1"/>
    <col min="2052" max="2054" width="9.109375" style="21"/>
    <col min="2055" max="2055" width="10.33203125" style="21" customWidth="1"/>
    <col min="2056" max="2056" width="7" style="21" customWidth="1"/>
    <col min="2057" max="2058" width="9.109375" style="21"/>
    <col min="2059" max="2059" width="6.5546875" style="21" customWidth="1"/>
    <col min="2060" max="2303" width="9.109375" style="21"/>
    <col min="2304" max="2304" width="3.6640625" style="21" customWidth="1"/>
    <col min="2305" max="2305" width="33.21875" style="21" customWidth="1"/>
    <col min="2306" max="2306" width="9.109375" style="21"/>
    <col min="2307" max="2307" width="9.5546875" style="21" bestFit="1" customWidth="1"/>
    <col min="2308" max="2310" width="9.109375" style="21"/>
    <col min="2311" max="2311" width="10.33203125" style="21" customWidth="1"/>
    <col min="2312" max="2312" width="7" style="21" customWidth="1"/>
    <col min="2313" max="2314" width="9.109375" style="21"/>
    <col min="2315" max="2315" width="6.5546875" style="21" customWidth="1"/>
    <col min="2316" max="2559" width="9.109375" style="21"/>
    <col min="2560" max="2560" width="3.6640625" style="21" customWidth="1"/>
    <col min="2561" max="2561" width="33.21875" style="21" customWidth="1"/>
    <col min="2562" max="2562" width="9.109375" style="21"/>
    <col min="2563" max="2563" width="9.5546875" style="21" bestFit="1" customWidth="1"/>
    <col min="2564" max="2566" width="9.109375" style="21"/>
    <col min="2567" max="2567" width="10.33203125" style="21" customWidth="1"/>
    <col min="2568" max="2568" width="7" style="21" customWidth="1"/>
    <col min="2569" max="2570" width="9.109375" style="21"/>
    <col min="2571" max="2571" width="6.5546875" style="21" customWidth="1"/>
    <col min="2572" max="2815" width="9.109375" style="21"/>
    <col min="2816" max="2816" width="3.6640625" style="21" customWidth="1"/>
    <col min="2817" max="2817" width="33.21875" style="21" customWidth="1"/>
    <col min="2818" max="2818" width="9.109375" style="21"/>
    <col min="2819" max="2819" width="9.5546875" style="21" bestFit="1" customWidth="1"/>
    <col min="2820" max="2822" width="9.109375" style="21"/>
    <col min="2823" max="2823" width="10.33203125" style="21" customWidth="1"/>
    <col min="2824" max="2824" width="7" style="21" customWidth="1"/>
    <col min="2825" max="2826" width="9.109375" style="21"/>
    <col min="2827" max="2827" width="6.5546875" style="21" customWidth="1"/>
    <col min="2828" max="3071" width="9.109375" style="21"/>
    <col min="3072" max="3072" width="3.6640625" style="21" customWidth="1"/>
    <col min="3073" max="3073" width="33.21875" style="21" customWidth="1"/>
    <col min="3074" max="3074" width="9.109375" style="21"/>
    <col min="3075" max="3075" width="9.5546875" style="21" bestFit="1" customWidth="1"/>
    <col min="3076" max="3078" width="9.109375" style="21"/>
    <col min="3079" max="3079" width="10.33203125" style="21" customWidth="1"/>
    <col min="3080" max="3080" width="7" style="21" customWidth="1"/>
    <col min="3081" max="3082" width="9.109375" style="21"/>
    <col min="3083" max="3083" width="6.5546875" style="21" customWidth="1"/>
    <col min="3084" max="3327" width="9.109375" style="21"/>
    <col min="3328" max="3328" width="3.6640625" style="21" customWidth="1"/>
    <col min="3329" max="3329" width="33.21875" style="21" customWidth="1"/>
    <col min="3330" max="3330" width="9.109375" style="21"/>
    <col min="3331" max="3331" width="9.5546875" style="21" bestFit="1" customWidth="1"/>
    <col min="3332" max="3334" width="9.109375" style="21"/>
    <col min="3335" max="3335" width="10.33203125" style="21" customWidth="1"/>
    <col min="3336" max="3336" width="7" style="21" customWidth="1"/>
    <col min="3337" max="3338" width="9.109375" style="21"/>
    <col min="3339" max="3339" width="6.5546875" style="21" customWidth="1"/>
    <col min="3340" max="3583" width="9.109375" style="21"/>
    <col min="3584" max="3584" width="3.6640625" style="21" customWidth="1"/>
    <col min="3585" max="3585" width="33.21875" style="21" customWidth="1"/>
    <col min="3586" max="3586" width="9.109375" style="21"/>
    <col min="3587" max="3587" width="9.5546875" style="21" bestFit="1" customWidth="1"/>
    <col min="3588" max="3590" width="9.109375" style="21"/>
    <col min="3591" max="3591" width="10.33203125" style="21" customWidth="1"/>
    <col min="3592" max="3592" width="7" style="21" customWidth="1"/>
    <col min="3593" max="3594" width="9.109375" style="21"/>
    <col min="3595" max="3595" width="6.5546875" style="21" customWidth="1"/>
    <col min="3596" max="3839" width="9.109375" style="21"/>
    <col min="3840" max="3840" width="3.6640625" style="21" customWidth="1"/>
    <col min="3841" max="3841" width="33.21875" style="21" customWidth="1"/>
    <col min="3842" max="3842" width="9.109375" style="21"/>
    <col min="3843" max="3843" width="9.5546875" style="21" bestFit="1" customWidth="1"/>
    <col min="3844" max="3846" width="9.109375" style="21"/>
    <col min="3847" max="3847" width="10.33203125" style="21" customWidth="1"/>
    <col min="3848" max="3848" width="7" style="21" customWidth="1"/>
    <col min="3849" max="3850" width="9.109375" style="21"/>
    <col min="3851" max="3851" width="6.5546875" style="21" customWidth="1"/>
    <col min="3852" max="4095" width="9.109375" style="21"/>
    <col min="4096" max="4096" width="3.6640625" style="21" customWidth="1"/>
    <col min="4097" max="4097" width="33.21875" style="21" customWidth="1"/>
    <col min="4098" max="4098" width="9.109375" style="21"/>
    <col min="4099" max="4099" width="9.5546875" style="21" bestFit="1" customWidth="1"/>
    <col min="4100" max="4102" width="9.109375" style="21"/>
    <col min="4103" max="4103" width="10.33203125" style="21" customWidth="1"/>
    <col min="4104" max="4104" width="7" style="21" customWidth="1"/>
    <col min="4105" max="4106" width="9.109375" style="21"/>
    <col min="4107" max="4107" width="6.5546875" style="21" customWidth="1"/>
    <col min="4108" max="4351" width="9.109375" style="21"/>
    <col min="4352" max="4352" width="3.6640625" style="21" customWidth="1"/>
    <col min="4353" max="4353" width="33.21875" style="21" customWidth="1"/>
    <col min="4354" max="4354" width="9.109375" style="21"/>
    <col min="4355" max="4355" width="9.5546875" style="21" bestFit="1" customWidth="1"/>
    <col min="4356" max="4358" width="9.109375" style="21"/>
    <col min="4359" max="4359" width="10.33203125" style="21" customWidth="1"/>
    <col min="4360" max="4360" width="7" style="21" customWidth="1"/>
    <col min="4361" max="4362" width="9.109375" style="21"/>
    <col min="4363" max="4363" width="6.5546875" style="21" customWidth="1"/>
    <col min="4364" max="4607" width="9.109375" style="21"/>
    <col min="4608" max="4608" width="3.6640625" style="21" customWidth="1"/>
    <col min="4609" max="4609" width="33.21875" style="21" customWidth="1"/>
    <col min="4610" max="4610" width="9.109375" style="21"/>
    <col min="4611" max="4611" width="9.5546875" style="21" bestFit="1" customWidth="1"/>
    <col min="4612" max="4614" width="9.109375" style="21"/>
    <col min="4615" max="4615" width="10.33203125" style="21" customWidth="1"/>
    <col min="4616" max="4616" width="7" style="21" customWidth="1"/>
    <col min="4617" max="4618" width="9.109375" style="21"/>
    <col min="4619" max="4619" width="6.5546875" style="21" customWidth="1"/>
    <col min="4620" max="4863" width="9.109375" style="21"/>
    <col min="4864" max="4864" width="3.6640625" style="21" customWidth="1"/>
    <col min="4865" max="4865" width="33.21875" style="21" customWidth="1"/>
    <col min="4866" max="4866" width="9.109375" style="21"/>
    <col min="4867" max="4867" width="9.5546875" style="21" bestFit="1" customWidth="1"/>
    <col min="4868" max="4870" width="9.109375" style="21"/>
    <col min="4871" max="4871" width="10.33203125" style="21" customWidth="1"/>
    <col min="4872" max="4872" width="7" style="21" customWidth="1"/>
    <col min="4873" max="4874" width="9.109375" style="21"/>
    <col min="4875" max="4875" width="6.5546875" style="21" customWidth="1"/>
    <col min="4876" max="5119" width="9.109375" style="21"/>
    <col min="5120" max="5120" width="3.6640625" style="21" customWidth="1"/>
    <col min="5121" max="5121" width="33.21875" style="21" customWidth="1"/>
    <col min="5122" max="5122" width="9.109375" style="21"/>
    <col min="5123" max="5123" width="9.5546875" style="21" bestFit="1" customWidth="1"/>
    <col min="5124" max="5126" width="9.109375" style="21"/>
    <col min="5127" max="5127" width="10.33203125" style="21" customWidth="1"/>
    <col min="5128" max="5128" width="7" style="21" customWidth="1"/>
    <col min="5129" max="5130" width="9.109375" style="21"/>
    <col min="5131" max="5131" width="6.5546875" style="21" customWidth="1"/>
    <col min="5132" max="5375" width="9.109375" style="21"/>
    <col min="5376" max="5376" width="3.6640625" style="21" customWidth="1"/>
    <col min="5377" max="5377" width="33.21875" style="21" customWidth="1"/>
    <col min="5378" max="5378" width="9.109375" style="21"/>
    <col min="5379" max="5379" width="9.5546875" style="21" bestFit="1" customWidth="1"/>
    <col min="5380" max="5382" width="9.109375" style="21"/>
    <col min="5383" max="5383" width="10.33203125" style="21" customWidth="1"/>
    <col min="5384" max="5384" width="7" style="21" customWidth="1"/>
    <col min="5385" max="5386" width="9.109375" style="21"/>
    <col min="5387" max="5387" width="6.5546875" style="21" customWidth="1"/>
    <col min="5388" max="5631" width="9.109375" style="21"/>
    <col min="5632" max="5632" width="3.6640625" style="21" customWidth="1"/>
    <col min="5633" max="5633" width="33.21875" style="21" customWidth="1"/>
    <col min="5634" max="5634" width="9.109375" style="21"/>
    <col min="5635" max="5635" width="9.5546875" style="21" bestFit="1" customWidth="1"/>
    <col min="5636" max="5638" width="9.109375" style="21"/>
    <col min="5639" max="5639" width="10.33203125" style="21" customWidth="1"/>
    <col min="5640" max="5640" width="7" style="21" customWidth="1"/>
    <col min="5641" max="5642" width="9.109375" style="21"/>
    <col min="5643" max="5643" width="6.5546875" style="21" customWidth="1"/>
    <col min="5644" max="5887" width="9.109375" style="21"/>
    <col min="5888" max="5888" width="3.6640625" style="21" customWidth="1"/>
    <col min="5889" max="5889" width="33.21875" style="21" customWidth="1"/>
    <col min="5890" max="5890" width="9.109375" style="21"/>
    <col min="5891" max="5891" width="9.5546875" style="21" bestFit="1" customWidth="1"/>
    <col min="5892" max="5894" width="9.109375" style="21"/>
    <col min="5895" max="5895" width="10.33203125" style="21" customWidth="1"/>
    <col min="5896" max="5896" width="7" style="21" customWidth="1"/>
    <col min="5897" max="5898" width="9.109375" style="21"/>
    <col min="5899" max="5899" width="6.5546875" style="21" customWidth="1"/>
    <col min="5900" max="6143" width="9.109375" style="21"/>
    <col min="6144" max="6144" width="3.6640625" style="21" customWidth="1"/>
    <col min="6145" max="6145" width="33.21875" style="21" customWidth="1"/>
    <col min="6146" max="6146" width="9.109375" style="21"/>
    <col min="6147" max="6147" width="9.5546875" style="21" bestFit="1" customWidth="1"/>
    <col min="6148" max="6150" width="9.109375" style="21"/>
    <col min="6151" max="6151" width="10.33203125" style="21" customWidth="1"/>
    <col min="6152" max="6152" width="7" style="21" customWidth="1"/>
    <col min="6153" max="6154" width="9.109375" style="21"/>
    <col min="6155" max="6155" width="6.5546875" style="21" customWidth="1"/>
    <col min="6156" max="6399" width="9.109375" style="21"/>
    <col min="6400" max="6400" width="3.6640625" style="21" customWidth="1"/>
    <col min="6401" max="6401" width="33.21875" style="21" customWidth="1"/>
    <col min="6402" max="6402" width="9.109375" style="21"/>
    <col min="6403" max="6403" width="9.5546875" style="21" bestFit="1" customWidth="1"/>
    <col min="6404" max="6406" width="9.109375" style="21"/>
    <col min="6407" max="6407" width="10.33203125" style="21" customWidth="1"/>
    <col min="6408" max="6408" width="7" style="21" customWidth="1"/>
    <col min="6409" max="6410" width="9.109375" style="21"/>
    <col min="6411" max="6411" width="6.5546875" style="21" customWidth="1"/>
    <col min="6412" max="6655" width="9.109375" style="21"/>
    <col min="6656" max="6656" width="3.6640625" style="21" customWidth="1"/>
    <col min="6657" max="6657" width="33.21875" style="21" customWidth="1"/>
    <col min="6658" max="6658" width="9.109375" style="21"/>
    <col min="6659" max="6659" width="9.5546875" style="21" bestFit="1" customWidth="1"/>
    <col min="6660" max="6662" width="9.109375" style="21"/>
    <col min="6663" max="6663" width="10.33203125" style="21" customWidth="1"/>
    <col min="6664" max="6664" width="7" style="21" customWidth="1"/>
    <col min="6665" max="6666" width="9.109375" style="21"/>
    <col min="6667" max="6667" width="6.5546875" style="21" customWidth="1"/>
    <col min="6668" max="6911" width="9.109375" style="21"/>
    <col min="6912" max="6912" width="3.6640625" style="21" customWidth="1"/>
    <col min="6913" max="6913" width="33.21875" style="21" customWidth="1"/>
    <col min="6914" max="6914" width="9.109375" style="21"/>
    <col min="6915" max="6915" width="9.5546875" style="21" bestFit="1" customWidth="1"/>
    <col min="6916" max="6918" width="9.109375" style="21"/>
    <col min="6919" max="6919" width="10.33203125" style="21" customWidth="1"/>
    <col min="6920" max="6920" width="7" style="21" customWidth="1"/>
    <col min="6921" max="6922" width="9.109375" style="21"/>
    <col min="6923" max="6923" width="6.5546875" style="21" customWidth="1"/>
    <col min="6924" max="7167" width="9.109375" style="21"/>
    <col min="7168" max="7168" width="3.6640625" style="21" customWidth="1"/>
    <col min="7169" max="7169" width="33.21875" style="21" customWidth="1"/>
    <col min="7170" max="7170" width="9.109375" style="21"/>
    <col min="7171" max="7171" width="9.5546875" style="21" bestFit="1" customWidth="1"/>
    <col min="7172" max="7174" width="9.109375" style="21"/>
    <col min="7175" max="7175" width="10.33203125" style="21" customWidth="1"/>
    <col min="7176" max="7176" width="7" style="21" customWidth="1"/>
    <col min="7177" max="7178" width="9.109375" style="21"/>
    <col min="7179" max="7179" width="6.5546875" style="21" customWidth="1"/>
    <col min="7180" max="7423" width="9.109375" style="21"/>
    <col min="7424" max="7424" width="3.6640625" style="21" customWidth="1"/>
    <col min="7425" max="7425" width="33.21875" style="21" customWidth="1"/>
    <col min="7426" max="7426" width="9.109375" style="21"/>
    <col min="7427" max="7427" width="9.5546875" style="21" bestFit="1" customWidth="1"/>
    <col min="7428" max="7430" width="9.109375" style="21"/>
    <col min="7431" max="7431" width="10.33203125" style="21" customWidth="1"/>
    <col min="7432" max="7432" width="7" style="21" customWidth="1"/>
    <col min="7433" max="7434" width="9.109375" style="21"/>
    <col min="7435" max="7435" width="6.5546875" style="21" customWidth="1"/>
    <col min="7436" max="7679" width="9.109375" style="21"/>
    <col min="7680" max="7680" width="3.6640625" style="21" customWidth="1"/>
    <col min="7681" max="7681" width="33.21875" style="21" customWidth="1"/>
    <col min="7682" max="7682" width="9.109375" style="21"/>
    <col min="7683" max="7683" width="9.5546875" style="21" bestFit="1" customWidth="1"/>
    <col min="7684" max="7686" width="9.109375" style="21"/>
    <col min="7687" max="7687" width="10.33203125" style="21" customWidth="1"/>
    <col min="7688" max="7688" width="7" style="21" customWidth="1"/>
    <col min="7689" max="7690" width="9.109375" style="21"/>
    <col min="7691" max="7691" width="6.5546875" style="21" customWidth="1"/>
    <col min="7692" max="7935" width="9.109375" style="21"/>
    <col min="7936" max="7936" width="3.6640625" style="21" customWidth="1"/>
    <col min="7937" max="7937" width="33.21875" style="21" customWidth="1"/>
    <col min="7938" max="7938" width="9.109375" style="21"/>
    <col min="7939" max="7939" width="9.5546875" style="21" bestFit="1" customWidth="1"/>
    <col min="7940" max="7942" width="9.109375" style="21"/>
    <col min="7943" max="7943" width="10.33203125" style="21" customWidth="1"/>
    <col min="7944" max="7944" width="7" style="21" customWidth="1"/>
    <col min="7945" max="7946" width="9.109375" style="21"/>
    <col min="7947" max="7947" width="6.5546875" style="21" customWidth="1"/>
    <col min="7948" max="8191" width="9.109375" style="21"/>
    <col min="8192" max="8192" width="3.6640625" style="21" customWidth="1"/>
    <col min="8193" max="8193" width="33.21875" style="21" customWidth="1"/>
    <col min="8194" max="8194" width="9.109375" style="21"/>
    <col min="8195" max="8195" width="9.5546875" style="21" bestFit="1" customWidth="1"/>
    <col min="8196" max="8198" width="9.109375" style="21"/>
    <col min="8199" max="8199" width="10.33203125" style="21" customWidth="1"/>
    <col min="8200" max="8200" width="7" style="21" customWidth="1"/>
    <col min="8201" max="8202" width="9.109375" style="21"/>
    <col min="8203" max="8203" width="6.5546875" style="21" customWidth="1"/>
    <col min="8204" max="8447" width="9.109375" style="21"/>
    <col min="8448" max="8448" width="3.6640625" style="21" customWidth="1"/>
    <col min="8449" max="8449" width="33.21875" style="21" customWidth="1"/>
    <col min="8450" max="8450" width="9.109375" style="21"/>
    <col min="8451" max="8451" width="9.5546875" style="21" bestFit="1" customWidth="1"/>
    <col min="8452" max="8454" width="9.109375" style="21"/>
    <col min="8455" max="8455" width="10.33203125" style="21" customWidth="1"/>
    <col min="8456" max="8456" width="7" style="21" customWidth="1"/>
    <col min="8457" max="8458" width="9.109375" style="21"/>
    <col min="8459" max="8459" width="6.5546875" style="21" customWidth="1"/>
    <col min="8460" max="8703" width="9.109375" style="21"/>
    <col min="8704" max="8704" width="3.6640625" style="21" customWidth="1"/>
    <col min="8705" max="8705" width="33.21875" style="21" customWidth="1"/>
    <col min="8706" max="8706" width="9.109375" style="21"/>
    <col min="8707" max="8707" width="9.5546875" style="21" bestFit="1" customWidth="1"/>
    <col min="8708" max="8710" width="9.109375" style="21"/>
    <col min="8711" max="8711" width="10.33203125" style="21" customWidth="1"/>
    <col min="8712" max="8712" width="7" style="21" customWidth="1"/>
    <col min="8713" max="8714" width="9.109375" style="21"/>
    <col min="8715" max="8715" width="6.5546875" style="21" customWidth="1"/>
    <col min="8716" max="8959" width="9.109375" style="21"/>
    <col min="8960" max="8960" width="3.6640625" style="21" customWidth="1"/>
    <col min="8961" max="8961" width="33.21875" style="21" customWidth="1"/>
    <col min="8962" max="8962" width="9.109375" style="21"/>
    <col min="8963" max="8963" width="9.5546875" style="21" bestFit="1" customWidth="1"/>
    <col min="8964" max="8966" width="9.109375" style="21"/>
    <col min="8967" max="8967" width="10.33203125" style="21" customWidth="1"/>
    <col min="8968" max="8968" width="7" style="21" customWidth="1"/>
    <col min="8969" max="8970" width="9.109375" style="21"/>
    <col min="8971" max="8971" width="6.5546875" style="21" customWidth="1"/>
    <col min="8972" max="9215" width="9.109375" style="21"/>
    <col min="9216" max="9216" width="3.6640625" style="21" customWidth="1"/>
    <col min="9217" max="9217" width="33.21875" style="21" customWidth="1"/>
    <col min="9218" max="9218" width="9.109375" style="21"/>
    <col min="9219" max="9219" width="9.5546875" style="21" bestFit="1" customWidth="1"/>
    <col min="9220" max="9222" width="9.109375" style="21"/>
    <col min="9223" max="9223" width="10.33203125" style="21" customWidth="1"/>
    <col min="9224" max="9224" width="7" style="21" customWidth="1"/>
    <col min="9225" max="9226" width="9.109375" style="21"/>
    <col min="9227" max="9227" width="6.5546875" style="21" customWidth="1"/>
    <col min="9228" max="9471" width="9.109375" style="21"/>
    <col min="9472" max="9472" width="3.6640625" style="21" customWidth="1"/>
    <col min="9473" max="9473" width="33.21875" style="21" customWidth="1"/>
    <col min="9474" max="9474" width="9.109375" style="21"/>
    <col min="9475" max="9475" width="9.5546875" style="21" bestFit="1" customWidth="1"/>
    <col min="9476" max="9478" width="9.109375" style="21"/>
    <col min="9479" max="9479" width="10.33203125" style="21" customWidth="1"/>
    <col min="9480" max="9480" width="7" style="21" customWidth="1"/>
    <col min="9481" max="9482" width="9.109375" style="21"/>
    <col min="9483" max="9483" width="6.5546875" style="21" customWidth="1"/>
    <col min="9484" max="9727" width="9.109375" style="21"/>
    <col min="9728" max="9728" width="3.6640625" style="21" customWidth="1"/>
    <col min="9729" max="9729" width="33.21875" style="21" customWidth="1"/>
    <col min="9730" max="9730" width="9.109375" style="21"/>
    <col min="9731" max="9731" width="9.5546875" style="21" bestFit="1" customWidth="1"/>
    <col min="9732" max="9734" width="9.109375" style="21"/>
    <col min="9735" max="9735" width="10.33203125" style="21" customWidth="1"/>
    <col min="9736" max="9736" width="7" style="21" customWidth="1"/>
    <col min="9737" max="9738" width="9.109375" style="21"/>
    <col min="9739" max="9739" width="6.5546875" style="21" customWidth="1"/>
    <col min="9740" max="9983" width="9.109375" style="21"/>
    <col min="9984" max="9984" width="3.6640625" style="21" customWidth="1"/>
    <col min="9985" max="9985" width="33.21875" style="21" customWidth="1"/>
    <col min="9986" max="9986" width="9.109375" style="21"/>
    <col min="9987" max="9987" width="9.5546875" style="21" bestFit="1" customWidth="1"/>
    <col min="9988" max="9990" width="9.109375" style="21"/>
    <col min="9991" max="9991" width="10.33203125" style="21" customWidth="1"/>
    <col min="9992" max="9992" width="7" style="21" customWidth="1"/>
    <col min="9993" max="9994" width="9.109375" style="21"/>
    <col min="9995" max="9995" width="6.5546875" style="21" customWidth="1"/>
    <col min="9996" max="10239" width="9.109375" style="21"/>
    <col min="10240" max="10240" width="3.6640625" style="21" customWidth="1"/>
    <col min="10241" max="10241" width="33.21875" style="21" customWidth="1"/>
    <col min="10242" max="10242" width="9.109375" style="21"/>
    <col min="10243" max="10243" width="9.5546875" style="21" bestFit="1" customWidth="1"/>
    <col min="10244" max="10246" width="9.109375" style="21"/>
    <col min="10247" max="10247" width="10.33203125" style="21" customWidth="1"/>
    <col min="10248" max="10248" width="7" style="21" customWidth="1"/>
    <col min="10249" max="10250" width="9.109375" style="21"/>
    <col min="10251" max="10251" width="6.5546875" style="21" customWidth="1"/>
    <col min="10252" max="10495" width="9.109375" style="21"/>
    <col min="10496" max="10496" width="3.6640625" style="21" customWidth="1"/>
    <col min="10497" max="10497" width="33.21875" style="21" customWidth="1"/>
    <col min="10498" max="10498" width="9.109375" style="21"/>
    <col min="10499" max="10499" width="9.5546875" style="21" bestFit="1" customWidth="1"/>
    <col min="10500" max="10502" width="9.109375" style="21"/>
    <col min="10503" max="10503" width="10.33203125" style="21" customWidth="1"/>
    <col min="10504" max="10504" width="7" style="21" customWidth="1"/>
    <col min="10505" max="10506" width="9.109375" style="21"/>
    <col min="10507" max="10507" width="6.5546875" style="21" customWidth="1"/>
    <col min="10508" max="10751" width="9.109375" style="21"/>
    <col min="10752" max="10752" width="3.6640625" style="21" customWidth="1"/>
    <col min="10753" max="10753" width="33.21875" style="21" customWidth="1"/>
    <col min="10754" max="10754" width="9.109375" style="21"/>
    <col min="10755" max="10755" width="9.5546875" style="21" bestFit="1" customWidth="1"/>
    <col min="10756" max="10758" width="9.109375" style="21"/>
    <col min="10759" max="10759" width="10.33203125" style="21" customWidth="1"/>
    <col min="10760" max="10760" width="7" style="21" customWidth="1"/>
    <col min="10761" max="10762" width="9.109375" style="21"/>
    <col min="10763" max="10763" width="6.5546875" style="21" customWidth="1"/>
    <col min="10764" max="11007" width="9.109375" style="21"/>
    <col min="11008" max="11008" width="3.6640625" style="21" customWidth="1"/>
    <col min="11009" max="11009" width="33.21875" style="21" customWidth="1"/>
    <col min="11010" max="11010" width="9.109375" style="21"/>
    <col min="11011" max="11011" width="9.5546875" style="21" bestFit="1" customWidth="1"/>
    <col min="11012" max="11014" width="9.109375" style="21"/>
    <col min="11015" max="11015" width="10.33203125" style="21" customWidth="1"/>
    <col min="11016" max="11016" width="7" style="21" customWidth="1"/>
    <col min="11017" max="11018" width="9.109375" style="21"/>
    <col min="11019" max="11019" width="6.5546875" style="21" customWidth="1"/>
    <col min="11020" max="11263" width="9.109375" style="21"/>
    <col min="11264" max="11264" width="3.6640625" style="21" customWidth="1"/>
    <col min="11265" max="11265" width="33.21875" style="21" customWidth="1"/>
    <col min="11266" max="11266" width="9.109375" style="21"/>
    <col min="11267" max="11267" width="9.5546875" style="21" bestFit="1" customWidth="1"/>
    <col min="11268" max="11270" width="9.109375" style="21"/>
    <col min="11271" max="11271" width="10.33203125" style="21" customWidth="1"/>
    <col min="11272" max="11272" width="7" style="21" customWidth="1"/>
    <col min="11273" max="11274" width="9.109375" style="21"/>
    <col min="11275" max="11275" width="6.5546875" style="21" customWidth="1"/>
    <col min="11276" max="11519" width="9.109375" style="21"/>
    <col min="11520" max="11520" width="3.6640625" style="21" customWidth="1"/>
    <col min="11521" max="11521" width="33.21875" style="21" customWidth="1"/>
    <col min="11522" max="11522" width="9.109375" style="21"/>
    <col min="11523" max="11523" width="9.5546875" style="21" bestFit="1" customWidth="1"/>
    <col min="11524" max="11526" width="9.109375" style="21"/>
    <col min="11527" max="11527" width="10.33203125" style="21" customWidth="1"/>
    <col min="11528" max="11528" width="7" style="21" customWidth="1"/>
    <col min="11529" max="11530" width="9.109375" style="21"/>
    <col min="11531" max="11531" width="6.5546875" style="21" customWidth="1"/>
    <col min="11532" max="11775" width="9.109375" style="21"/>
    <col min="11776" max="11776" width="3.6640625" style="21" customWidth="1"/>
    <col min="11777" max="11777" width="33.21875" style="21" customWidth="1"/>
    <col min="11778" max="11778" width="9.109375" style="21"/>
    <col min="11779" max="11779" width="9.5546875" style="21" bestFit="1" customWidth="1"/>
    <col min="11780" max="11782" width="9.109375" style="21"/>
    <col min="11783" max="11783" width="10.33203125" style="21" customWidth="1"/>
    <col min="11784" max="11784" width="7" style="21" customWidth="1"/>
    <col min="11785" max="11786" width="9.109375" style="21"/>
    <col min="11787" max="11787" width="6.5546875" style="21" customWidth="1"/>
    <col min="11788" max="12031" width="9.109375" style="21"/>
    <col min="12032" max="12032" width="3.6640625" style="21" customWidth="1"/>
    <col min="12033" max="12033" width="33.21875" style="21" customWidth="1"/>
    <col min="12034" max="12034" width="9.109375" style="21"/>
    <col min="12035" max="12035" width="9.5546875" style="21" bestFit="1" customWidth="1"/>
    <col min="12036" max="12038" width="9.109375" style="21"/>
    <col min="12039" max="12039" width="10.33203125" style="21" customWidth="1"/>
    <col min="12040" max="12040" width="7" style="21" customWidth="1"/>
    <col min="12041" max="12042" width="9.109375" style="21"/>
    <col min="12043" max="12043" width="6.5546875" style="21" customWidth="1"/>
    <col min="12044" max="12287" width="9.109375" style="21"/>
    <col min="12288" max="12288" width="3.6640625" style="21" customWidth="1"/>
    <col min="12289" max="12289" width="33.21875" style="21" customWidth="1"/>
    <col min="12290" max="12290" width="9.109375" style="21"/>
    <col min="12291" max="12291" width="9.5546875" style="21" bestFit="1" customWidth="1"/>
    <col min="12292" max="12294" width="9.109375" style="21"/>
    <col min="12295" max="12295" width="10.33203125" style="21" customWidth="1"/>
    <col min="12296" max="12296" width="7" style="21" customWidth="1"/>
    <col min="12297" max="12298" width="9.109375" style="21"/>
    <col min="12299" max="12299" width="6.5546875" style="21" customWidth="1"/>
    <col min="12300" max="12543" width="9.109375" style="21"/>
    <col min="12544" max="12544" width="3.6640625" style="21" customWidth="1"/>
    <col min="12545" max="12545" width="33.21875" style="21" customWidth="1"/>
    <col min="12546" max="12546" width="9.109375" style="21"/>
    <col min="12547" max="12547" width="9.5546875" style="21" bestFit="1" customWidth="1"/>
    <col min="12548" max="12550" width="9.109375" style="21"/>
    <col min="12551" max="12551" width="10.33203125" style="21" customWidth="1"/>
    <col min="12552" max="12552" width="7" style="21" customWidth="1"/>
    <col min="12553" max="12554" width="9.109375" style="21"/>
    <col min="12555" max="12555" width="6.5546875" style="21" customWidth="1"/>
    <col min="12556" max="12799" width="9.109375" style="21"/>
    <col min="12800" max="12800" width="3.6640625" style="21" customWidth="1"/>
    <col min="12801" max="12801" width="33.21875" style="21" customWidth="1"/>
    <col min="12802" max="12802" width="9.109375" style="21"/>
    <col min="12803" max="12803" width="9.5546875" style="21" bestFit="1" customWidth="1"/>
    <col min="12804" max="12806" width="9.109375" style="21"/>
    <col min="12807" max="12807" width="10.33203125" style="21" customWidth="1"/>
    <col min="12808" max="12808" width="7" style="21" customWidth="1"/>
    <col min="12809" max="12810" width="9.109375" style="21"/>
    <col min="12811" max="12811" width="6.5546875" style="21" customWidth="1"/>
    <col min="12812" max="13055" width="9.109375" style="21"/>
    <col min="13056" max="13056" width="3.6640625" style="21" customWidth="1"/>
    <col min="13057" max="13057" width="33.21875" style="21" customWidth="1"/>
    <col min="13058" max="13058" width="9.109375" style="21"/>
    <col min="13059" max="13059" width="9.5546875" style="21" bestFit="1" customWidth="1"/>
    <col min="13060" max="13062" width="9.109375" style="21"/>
    <col min="13063" max="13063" width="10.33203125" style="21" customWidth="1"/>
    <col min="13064" max="13064" width="7" style="21" customWidth="1"/>
    <col min="13065" max="13066" width="9.109375" style="21"/>
    <col min="13067" max="13067" width="6.5546875" style="21" customWidth="1"/>
    <col min="13068" max="13311" width="9.109375" style="21"/>
    <col min="13312" max="13312" width="3.6640625" style="21" customWidth="1"/>
    <col min="13313" max="13313" width="33.21875" style="21" customWidth="1"/>
    <col min="13314" max="13314" width="9.109375" style="21"/>
    <col min="13315" max="13315" width="9.5546875" style="21" bestFit="1" customWidth="1"/>
    <col min="13316" max="13318" width="9.109375" style="21"/>
    <col min="13319" max="13319" width="10.33203125" style="21" customWidth="1"/>
    <col min="13320" max="13320" width="7" style="21" customWidth="1"/>
    <col min="13321" max="13322" width="9.109375" style="21"/>
    <col min="13323" max="13323" width="6.5546875" style="21" customWidth="1"/>
    <col min="13324" max="13567" width="9.109375" style="21"/>
    <col min="13568" max="13568" width="3.6640625" style="21" customWidth="1"/>
    <col min="13569" max="13569" width="33.21875" style="21" customWidth="1"/>
    <col min="13570" max="13570" width="9.109375" style="21"/>
    <col min="13571" max="13571" width="9.5546875" style="21" bestFit="1" customWidth="1"/>
    <col min="13572" max="13574" width="9.109375" style="21"/>
    <col min="13575" max="13575" width="10.33203125" style="21" customWidth="1"/>
    <col min="13576" max="13576" width="7" style="21" customWidth="1"/>
    <col min="13577" max="13578" width="9.109375" style="21"/>
    <col min="13579" max="13579" width="6.5546875" style="21" customWidth="1"/>
    <col min="13580" max="13823" width="9.109375" style="21"/>
    <col min="13824" max="13824" width="3.6640625" style="21" customWidth="1"/>
    <col min="13825" max="13825" width="33.21875" style="21" customWidth="1"/>
    <col min="13826" max="13826" width="9.109375" style="21"/>
    <col min="13827" max="13827" width="9.5546875" style="21" bestFit="1" customWidth="1"/>
    <col min="13828" max="13830" width="9.109375" style="21"/>
    <col min="13831" max="13831" width="10.33203125" style="21" customWidth="1"/>
    <col min="13832" max="13832" width="7" style="21" customWidth="1"/>
    <col min="13833" max="13834" width="9.109375" style="21"/>
    <col min="13835" max="13835" width="6.5546875" style="21" customWidth="1"/>
    <col min="13836" max="14079" width="9.109375" style="21"/>
    <col min="14080" max="14080" width="3.6640625" style="21" customWidth="1"/>
    <col min="14081" max="14081" width="33.21875" style="21" customWidth="1"/>
    <col min="14082" max="14082" width="9.109375" style="21"/>
    <col min="14083" max="14083" width="9.5546875" style="21" bestFit="1" customWidth="1"/>
    <col min="14084" max="14086" width="9.109375" style="21"/>
    <col min="14087" max="14087" width="10.33203125" style="21" customWidth="1"/>
    <col min="14088" max="14088" width="7" style="21" customWidth="1"/>
    <col min="14089" max="14090" width="9.109375" style="21"/>
    <col min="14091" max="14091" width="6.5546875" style="21" customWidth="1"/>
    <col min="14092" max="14335" width="9.109375" style="21"/>
    <col min="14336" max="14336" width="3.6640625" style="21" customWidth="1"/>
    <col min="14337" max="14337" width="33.21875" style="21" customWidth="1"/>
    <col min="14338" max="14338" width="9.109375" style="21"/>
    <col min="14339" max="14339" width="9.5546875" style="21" bestFit="1" customWidth="1"/>
    <col min="14340" max="14342" width="9.109375" style="21"/>
    <col min="14343" max="14343" width="10.33203125" style="21" customWidth="1"/>
    <col min="14344" max="14344" width="7" style="21" customWidth="1"/>
    <col min="14345" max="14346" width="9.109375" style="21"/>
    <col min="14347" max="14347" width="6.5546875" style="21" customWidth="1"/>
    <col min="14348" max="14591" width="9.109375" style="21"/>
    <col min="14592" max="14592" width="3.6640625" style="21" customWidth="1"/>
    <col min="14593" max="14593" width="33.21875" style="21" customWidth="1"/>
    <col min="14594" max="14594" width="9.109375" style="21"/>
    <col min="14595" max="14595" width="9.5546875" style="21" bestFit="1" customWidth="1"/>
    <col min="14596" max="14598" width="9.109375" style="21"/>
    <col min="14599" max="14599" width="10.33203125" style="21" customWidth="1"/>
    <col min="14600" max="14600" width="7" style="21" customWidth="1"/>
    <col min="14601" max="14602" width="9.109375" style="21"/>
    <col min="14603" max="14603" width="6.5546875" style="21" customWidth="1"/>
    <col min="14604" max="14847" width="9.109375" style="21"/>
    <col min="14848" max="14848" width="3.6640625" style="21" customWidth="1"/>
    <col min="14849" max="14849" width="33.21875" style="21" customWidth="1"/>
    <col min="14850" max="14850" width="9.109375" style="21"/>
    <col min="14851" max="14851" width="9.5546875" style="21" bestFit="1" customWidth="1"/>
    <col min="14852" max="14854" width="9.109375" style="21"/>
    <col min="14855" max="14855" width="10.33203125" style="21" customWidth="1"/>
    <col min="14856" max="14856" width="7" style="21" customWidth="1"/>
    <col min="14857" max="14858" width="9.109375" style="21"/>
    <col min="14859" max="14859" width="6.5546875" style="21" customWidth="1"/>
    <col min="14860" max="15103" width="9.109375" style="21"/>
    <col min="15104" max="15104" width="3.6640625" style="21" customWidth="1"/>
    <col min="15105" max="15105" width="33.21875" style="21" customWidth="1"/>
    <col min="15106" max="15106" width="9.109375" style="21"/>
    <col min="15107" max="15107" width="9.5546875" style="21" bestFit="1" customWidth="1"/>
    <col min="15108" max="15110" width="9.109375" style="21"/>
    <col min="15111" max="15111" width="10.33203125" style="21" customWidth="1"/>
    <col min="15112" max="15112" width="7" style="21" customWidth="1"/>
    <col min="15113" max="15114" width="9.109375" style="21"/>
    <col min="15115" max="15115" width="6.5546875" style="21" customWidth="1"/>
    <col min="15116" max="15359" width="9.109375" style="21"/>
    <col min="15360" max="15360" width="3.6640625" style="21" customWidth="1"/>
    <col min="15361" max="15361" width="33.21875" style="21" customWidth="1"/>
    <col min="15362" max="15362" width="9.109375" style="21"/>
    <col min="15363" max="15363" width="9.5546875" style="21" bestFit="1" customWidth="1"/>
    <col min="15364" max="15366" width="9.109375" style="21"/>
    <col min="15367" max="15367" width="10.33203125" style="21" customWidth="1"/>
    <col min="15368" max="15368" width="7" style="21" customWidth="1"/>
    <col min="15369" max="15370" width="9.109375" style="21"/>
    <col min="15371" max="15371" width="6.5546875" style="21" customWidth="1"/>
    <col min="15372" max="15615" width="9.109375" style="21"/>
    <col min="15616" max="15616" width="3.6640625" style="21" customWidth="1"/>
    <col min="15617" max="15617" width="33.21875" style="21" customWidth="1"/>
    <col min="15618" max="15618" width="9.109375" style="21"/>
    <col min="15619" max="15619" width="9.5546875" style="21" bestFit="1" customWidth="1"/>
    <col min="15620" max="15622" width="9.109375" style="21"/>
    <col min="15623" max="15623" width="10.33203125" style="21" customWidth="1"/>
    <col min="15624" max="15624" width="7" style="21" customWidth="1"/>
    <col min="15625" max="15626" width="9.109375" style="21"/>
    <col min="15627" max="15627" width="6.5546875" style="21" customWidth="1"/>
    <col min="15628" max="15871" width="9.109375" style="21"/>
    <col min="15872" max="15872" width="3.6640625" style="21" customWidth="1"/>
    <col min="15873" max="15873" width="33.21875" style="21" customWidth="1"/>
    <col min="15874" max="15874" width="9.109375" style="21"/>
    <col min="15875" max="15875" width="9.5546875" style="21" bestFit="1" customWidth="1"/>
    <col min="15876" max="15878" width="9.109375" style="21"/>
    <col min="15879" max="15879" width="10.33203125" style="21" customWidth="1"/>
    <col min="15880" max="15880" width="7" style="21" customWidth="1"/>
    <col min="15881" max="15882" width="9.109375" style="21"/>
    <col min="15883" max="15883" width="6.5546875" style="21" customWidth="1"/>
    <col min="15884" max="16127" width="9.109375" style="21"/>
    <col min="16128" max="16128" width="3.6640625" style="21" customWidth="1"/>
    <col min="16129" max="16129" width="33.21875" style="21" customWidth="1"/>
    <col min="16130" max="16130" width="9.109375" style="21"/>
    <col min="16131" max="16131" width="9.5546875" style="21" bestFit="1" customWidth="1"/>
    <col min="16132" max="16134" width="9.109375" style="21"/>
    <col min="16135" max="16135" width="10.33203125" style="21" customWidth="1"/>
    <col min="16136" max="16136" width="7" style="21" customWidth="1"/>
    <col min="16137" max="16138" width="9.109375" style="21"/>
    <col min="16139" max="16139" width="6.5546875" style="21" customWidth="1"/>
    <col min="16140" max="16384" width="9.109375" style="21"/>
  </cols>
  <sheetData>
    <row r="2" spans="2:14" ht="14.4" thickBot="1">
      <c r="B2" s="305" t="s">
        <v>223</v>
      </c>
      <c r="G2" s="281"/>
    </row>
    <row r="3" spans="2:14" ht="10.8" thickBot="1">
      <c r="B3" s="282" t="s">
        <v>2</v>
      </c>
      <c r="D3" s="283">
        <f>'Flowsheet Balance'!I57</f>
        <v>2.7</v>
      </c>
      <c r="E3" s="284" t="s">
        <v>184</v>
      </c>
      <c r="F3" s="285"/>
      <c r="G3" s="285"/>
    </row>
    <row r="4" spans="2:14" ht="10.8" thickBot="1">
      <c r="B4" s="282" t="s">
        <v>3</v>
      </c>
      <c r="D4" s="286">
        <f>'Flowsheet Balance'!I59</f>
        <v>67.963661129644592</v>
      </c>
      <c r="E4" s="72" t="s">
        <v>39</v>
      </c>
      <c r="F4" s="287" t="s">
        <v>188</v>
      </c>
      <c r="G4" s="287" t="s">
        <v>59</v>
      </c>
      <c r="H4" s="213" t="s">
        <v>57</v>
      </c>
      <c r="I4" s="213" t="s">
        <v>36</v>
      </c>
      <c r="J4" s="202" t="s">
        <v>167</v>
      </c>
      <c r="K4" s="202" t="s">
        <v>168</v>
      </c>
      <c r="L4" s="202" t="s">
        <v>169</v>
      </c>
      <c r="M4" s="202" t="s">
        <v>170</v>
      </c>
      <c r="N4" s="200" t="s">
        <v>171</v>
      </c>
    </row>
    <row r="5" spans="2:14">
      <c r="B5" s="288" t="s">
        <v>9</v>
      </c>
      <c r="D5" s="286">
        <f>'Flowsheet Balance'!I65</f>
        <v>614.42652733338218</v>
      </c>
      <c r="E5" s="23">
        <f>'Flowsheet Balance'!B42</f>
        <v>4760</v>
      </c>
      <c r="F5" s="283">
        <f>E5/1000</f>
        <v>4.76</v>
      </c>
      <c r="G5" s="289">
        <f>F5/25.4</f>
        <v>0.18740157480314962</v>
      </c>
      <c r="H5" s="283">
        <f>'Flowsheet Balance'!I68</f>
        <v>0</v>
      </c>
      <c r="I5" s="290">
        <f t="shared" ref="I5:I15" si="0">H5/H$16</f>
        <v>0</v>
      </c>
      <c r="J5" s="200">
        <f>IF(OR(F5&gt;F$18,F5&lt;F$20),IF(F5&gt;F$18,1,0),IF(F5=F$19,G$19,G$18))</f>
        <v>1</v>
      </c>
      <c r="K5" s="200">
        <f>H5*J5</f>
        <v>0</v>
      </c>
      <c r="L5" s="200">
        <f t="shared" ref="L5:L15" si="1">K5/K$16</f>
        <v>0</v>
      </c>
      <c r="M5" s="200">
        <f>H5-K5</f>
        <v>0</v>
      </c>
      <c r="N5" s="200">
        <f t="shared" ref="N5:N15" si="2">M5/M$16</f>
        <v>0</v>
      </c>
    </row>
    <row r="6" spans="2:14">
      <c r="B6" s="282" t="s">
        <v>191</v>
      </c>
      <c r="C6" s="291" t="s">
        <v>192</v>
      </c>
      <c r="D6" s="283">
        <v>3</v>
      </c>
      <c r="E6" s="23">
        <f>'Flowsheet Balance'!B43</f>
        <v>2380</v>
      </c>
      <c r="F6" s="283">
        <f t="shared" ref="F6:F15" si="3">E6/1000</f>
        <v>2.38</v>
      </c>
      <c r="G6" s="289">
        <f t="shared" ref="G6:G15" si="4">F6/25.4</f>
        <v>9.3700787401574809E-2</v>
      </c>
      <c r="H6" s="283">
        <f>'Flowsheet Balance'!I69</f>
        <v>0</v>
      </c>
      <c r="I6" s="290">
        <f t="shared" si="0"/>
        <v>0</v>
      </c>
      <c r="J6" s="200">
        <f t="shared" ref="J6:J15" si="5">IF(OR(F6&gt;F$18,F6&lt;F$20),IF(F6&gt;F$18,1,0),IF(F6=F$19,G$19,G$18))</f>
        <v>1</v>
      </c>
      <c r="K6" s="200">
        <f t="shared" ref="K6:K15" si="6">H6*J6</f>
        <v>0</v>
      </c>
      <c r="L6" s="200">
        <f t="shared" si="1"/>
        <v>0</v>
      </c>
      <c r="M6" s="200">
        <f t="shared" ref="M6:M15" si="7">H6-K6</f>
        <v>0</v>
      </c>
      <c r="N6" s="200">
        <f t="shared" si="2"/>
        <v>0</v>
      </c>
    </row>
    <row r="7" spans="2:14" ht="11.4">
      <c r="B7" s="282" t="s">
        <v>193</v>
      </c>
      <c r="C7" s="291" t="s">
        <v>206</v>
      </c>
      <c r="D7" s="306">
        <f>PI()*(D6/2)^2</f>
        <v>7.0685834705770345</v>
      </c>
      <c r="E7" s="23">
        <f>'Flowsheet Balance'!B44</f>
        <v>1190</v>
      </c>
      <c r="F7" s="283">
        <f t="shared" si="3"/>
        <v>1.19</v>
      </c>
      <c r="G7" s="289">
        <f t="shared" si="4"/>
        <v>4.6850393700787404E-2</v>
      </c>
      <c r="H7" s="283">
        <f>'Flowsheet Balance'!I70</f>
        <v>23.249795635983695</v>
      </c>
      <c r="I7" s="290">
        <f t="shared" si="0"/>
        <v>0.34209157143011132</v>
      </c>
      <c r="J7" s="200">
        <f t="shared" si="5"/>
        <v>1</v>
      </c>
      <c r="K7" s="200">
        <f t="shared" si="6"/>
        <v>23.249795635983695</v>
      </c>
      <c r="L7" s="200">
        <f t="shared" si="1"/>
        <v>0.40950633115043694</v>
      </c>
      <c r="M7" s="200">
        <f t="shared" si="7"/>
        <v>0</v>
      </c>
      <c r="N7" s="200">
        <f t="shared" si="2"/>
        <v>0</v>
      </c>
    </row>
    <row r="8" spans="2:14">
      <c r="B8" s="282" t="s">
        <v>191</v>
      </c>
      <c r="C8" s="291" t="s">
        <v>194</v>
      </c>
      <c r="D8" s="283">
        <f>D6*3.28084</f>
        <v>9.8425200000000004</v>
      </c>
      <c r="E8" s="23">
        <f>'Flowsheet Balance'!B45</f>
        <v>595</v>
      </c>
      <c r="F8" s="283">
        <f t="shared" si="3"/>
        <v>0.59499999999999997</v>
      </c>
      <c r="G8" s="289">
        <f t="shared" si="4"/>
        <v>2.3425196850393702E-2</v>
      </c>
      <c r="H8" s="283">
        <f>'Flowsheet Balance'!I71</f>
        <v>17.481796774554716</v>
      </c>
      <c r="I8" s="290">
        <f t="shared" si="0"/>
        <v>0.25722270525137225</v>
      </c>
      <c r="J8" s="200">
        <f t="shared" si="5"/>
        <v>1</v>
      </c>
      <c r="K8" s="200">
        <f t="shared" si="6"/>
        <v>17.481796774554716</v>
      </c>
      <c r="L8" s="200">
        <f t="shared" si="1"/>
        <v>0.30791266173478138</v>
      </c>
      <c r="M8" s="200">
        <f t="shared" si="7"/>
        <v>0</v>
      </c>
      <c r="N8" s="200">
        <f t="shared" si="2"/>
        <v>0</v>
      </c>
    </row>
    <row r="9" spans="2:14" ht="11.4">
      <c r="B9" s="282" t="s">
        <v>193</v>
      </c>
      <c r="C9" s="291" t="s">
        <v>207</v>
      </c>
      <c r="D9" s="306">
        <f>PI()*(D8/2)^2</f>
        <v>76.085604119804728</v>
      </c>
      <c r="E9" s="23">
        <f>'Flowsheet Balance'!B46</f>
        <v>297</v>
      </c>
      <c r="F9" s="283">
        <f t="shared" si="3"/>
        <v>0.29699999999999999</v>
      </c>
      <c r="G9" s="289">
        <f t="shared" si="4"/>
        <v>1.1692913385826773E-2</v>
      </c>
      <c r="H9" s="283">
        <f>'Flowsheet Balance'!I72</f>
        <v>15.724800435062102</v>
      </c>
      <c r="I9" s="290">
        <f t="shared" si="0"/>
        <v>0.2313707086065617</v>
      </c>
      <c r="J9" s="200">
        <f t="shared" si="5"/>
        <v>0.75</v>
      </c>
      <c r="K9" s="200">
        <f t="shared" si="6"/>
        <v>11.793600326296577</v>
      </c>
      <c r="L9" s="200">
        <f t="shared" si="1"/>
        <v>0.20772457858518159</v>
      </c>
      <c r="M9" s="200">
        <f t="shared" si="7"/>
        <v>3.9312001087655251</v>
      </c>
      <c r="N9" s="200">
        <f t="shared" si="2"/>
        <v>0.35136137253257604</v>
      </c>
    </row>
    <row r="10" spans="2:14">
      <c r="B10" s="282" t="s">
        <v>115</v>
      </c>
      <c r="C10" s="291" t="s">
        <v>114</v>
      </c>
      <c r="D10" s="292">
        <f>'Flowsheet Balance'!I60</f>
        <v>0.3067363418659958</v>
      </c>
      <c r="E10" s="23">
        <f>'Flowsheet Balance'!B47</f>
        <v>149</v>
      </c>
      <c r="F10" s="283">
        <f t="shared" si="3"/>
        <v>0.14899999999999999</v>
      </c>
      <c r="G10" s="289">
        <f t="shared" si="4"/>
        <v>5.8661417322834648E-3</v>
      </c>
      <c r="H10" s="283">
        <f>'Flowsheet Balance'!I73</f>
        <v>8.4999743982637703</v>
      </c>
      <c r="I10" s="290">
        <f t="shared" si="0"/>
        <v>0.12506645841296837</v>
      </c>
      <c r="J10" s="200">
        <f t="shared" si="5"/>
        <v>0.5</v>
      </c>
      <c r="K10" s="200">
        <f t="shared" si="6"/>
        <v>4.2499871991318852</v>
      </c>
      <c r="L10" s="200">
        <f t="shared" si="1"/>
        <v>7.4856428529600019E-2</v>
      </c>
      <c r="M10" s="200">
        <f t="shared" si="7"/>
        <v>4.2499871991318852</v>
      </c>
      <c r="N10" s="200">
        <f t="shared" si="2"/>
        <v>0.37985380907047689</v>
      </c>
    </row>
    <row r="11" spans="2:14">
      <c r="B11" s="282" t="s">
        <v>2</v>
      </c>
      <c r="C11" s="291" t="s">
        <v>117</v>
      </c>
      <c r="D11" s="283">
        <v>2.7</v>
      </c>
      <c r="E11" s="23">
        <f>'Flowsheet Balance'!B48</f>
        <v>74</v>
      </c>
      <c r="F11" s="283">
        <f t="shared" si="3"/>
        <v>7.3999999999999996E-2</v>
      </c>
      <c r="G11" s="289">
        <f t="shared" si="4"/>
        <v>2.9133858267716534E-3</v>
      </c>
      <c r="H11" s="283">
        <f>'Flowsheet Balance'!I74</f>
        <v>2.7590876689776342</v>
      </c>
      <c r="I11" s="290">
        <f t="shared" si="0"/>
        <v>4.0596513241311645E-2</v>
      </c>
      <c r="J11" s="200">
        <f t="shared" si="5"/>
        <v>0</v>
      </c>
      <c r="K11" s="200">
        <f t="shared" si="6"/>
        <v>0</v>
      </c>
      <c r="L11" s="200">
        <f t="shared" si="1"/>
        <v>0</v>
      </c>
      <c r="M11" s="200">
        <f t="shared" si="7"/>
        <v>2.7590876689776342</v>
      </c>
      <c r="N11" s="200">
        <f t="shared" si="2"/>
        <v>0.24660073348800091</v>
      </c>
    </row>
    <row r="12" spans="2:14">
      <c r="B12" s="282" t="s">
        <v>195</v>
      </c>
      <c r="C12" s="291" t="s">
        <v>116</v>
      </c>
      <c r="D12" s="309">
        <f>(D11)/(D11+D10-D11*D10)</f>
        <v>1.2393574659792317</v>
      </c>
      <c r="E12" s="23">
        <f>'Flowsheet Balance'!B49</f>
        <v>0</v>
      </c>
      <c r="F12" s="283">
        <f t="shared" si="3"/>
        <v>0</v>
      </c>
      <c r="G12" s="289">
        <f t="shared" si="4"/>
        <v>0</v>
      </c>
      <c r="H12" s="283">
        <f>'Flowsheet Balance'!I75</f>
        <v>0.24820621680269275</v>
      </c>
      <c r="I12" s="290">
        <f t="shared" si="0"/>
        <v>3.6520430576749701E-3</v>
      </c>
      <c r="J12" s="200">
        <f t="shared" si="5"/>
        <v>0</v>
      </c>
      <c r="K12" s="200">
        <f t="shared" si="6"/>
        <v>0</v>
      </c>
      <c r="L12" s="200">
        <f t="shared" si="1"/>
        <v>0</v>
      </c>
      <c r="M12" s="200">
        <f t="shared" si="7"/>
        <v>0.24820621680269275</v>
      </c>
      <c r="N12" s="200">
        <f t="shared" si="2"/>
        <v>2.2184084908946029E-2</v>
      </c>
    </row>
    <row r="13" spans="2:14">
      <c r="B13" s="282" t="s">
        <v>196</v>
      </c>
      <c r="C13" s="291" t="s">
        <v>113</v>
      </c>
      <c r="D13" s="307">
        <f>(D12-1)/(D11-1)</f>
        <v>0.14079850939954805</v>
      </c>
      <c r="E13" s="23">
        <f>'Flowsheet Balance'!B50</f>
        <v>0</v>
      </c>
      <c r="F13" s="283">
        <f t="shared" si="3"/>
        <v>0</v>
      </c>
      <c r="G13" s="289">
        <f t="shared" si="4"/>
        <v>0</v>
      </c>
      <c r="H13" s="283">
        <f>'Flowsheet Balance'!I76</f>
        <v>0</v>
      </c>
      <c r="I13" s="290">
        <f t="shared" si="0"/>
        <v>0</v>
      </c>
      <c r="J13" s="200">
        <f t="shared" si="5"/>
        <v>0</v>
      </c>
      <c r="K13" s="200">
        <f t="shared" si="6"/>
        <v>0</v>
      </c>
      <c r="L13" s="200">
        <f t="shared" si="1"/>
        <v>0</v>
      </c>
      <c r="M13" s="200">
        <f t="shared" si="7"/>
        <v>0</v>
      </c>
      <c r="N13" s="200">
        <f t="shared" si="2"/>
        <v>0</v>
      </c>
    </row>
    <row r="14" spans="2:14">
      <c r="B14" s="282" t="s">
        <v>197</v>
      </c>
      <c r="C14" s="291"/>
      <c r="D14" s="307">
        <f>IF((((5000)^(1/2.5))*D10)/(((5000)^(1/2.5))-1)&gt;0.5,0.5,(((5000)^(1/2.5))*D10)/(((5000)^(1/2.5))-1))</f>
        <v>0.31725149684835741</v>
      </c>
      <c r="E14" s="23">
        <f>'Flowsheet Balance'!B51</f>
        <v>0</v>
      </c>
      <c r="F14" s="283">
        <f t="shared" si="3"/>
        <v>0</v>
      </c>
      <c r="G14" s="289">
        <f t="shared" si="4"/>
        <v>0</v>
      </c>
      <c r="H14" s="283">
        <f>'Flowsheet Balance'!I77</f>
        <v>0</v>
      </c>
      <c r="I14" s="290">
        <f t="shared" si="0"/>
        <v>0</v>
      </c>
      <c r="J14" s="200">
        <f t="shared" si="5"/>
        <v>0</v>
      </c>
      <c r="K14" s="200">
        <f t="shared" si="6"/>
        <v>0</v>
      </c>
      <c r="L14" s="200">
        <f t="shared" si="1"/>
        <v>0</v>
      </c>
      <c r="M14" s="200">
        <f t="shared" si="7"/>
        <v>0</v>
      </c>
      <c r="N14" s="200">
        <f t="shared" si="2"/>
        <v>0</v>
      </c>
    </row>
    <row r="15" spans="2:14" ht="10.8" thickBot="1">
      <c r="B15" s="282" t="s">
        <v>110</v>
      </c>
      <c r="C15" s="291" t="s">
        <v>109</v>
      </c>
      <c r="D15" s="310">
        <f>IF(D13&gt;D14,5000,IF((D14/(D14-D13))^2.5&gt;5000,5000,(D14/(D14-D13))^2.5))</f>
        <v>4.334476578820837</v>
      </c>
      <c r="E15" s="23">
        <f>'Flowsheet Balance'!B52</f>
        <v>0</v>
      </c>
      <c r="F15" s="283">
        <f t="shared" si="3"/>
        <v>0</v>
      </c>
      <c r="G15" s="289">
        <f t="shared" si="4"/>
        <v>0</v>
      </c>
      <c r="H15" s="283">
        <f>'Flowsheet Balance'!I78</f>
        <v>0</v>
      </c>
      <c r="I15" s="293">
        <f t="shared" si="0"/>
        <v>0</v>
      </c>
      <c r="J15" s="200">
        <f t="shared" si="5"/>
        <v>0</v>
      </c>
      <c r="K15" s="200">
        <f t="shared" si="6"/>
        <v>0</v>
      </c>
      <c r="L15" s="200">
        <f t="shared" si="1"/>
        <v>0</v>
      </c>
      <c r="M15" s="200">
        <f t="shared" si="7"/>
        <v>0</v>
      </c>
      <c r="N15" s="200">
        <f t="shared" si="2"/>
        <v>0</v>
      </c>
    </row>
    <row r="16" spans="2:14" ht="10.8" thickBot="1">
      <c r="B16" s="282" t="s">
        <v>112</v>
      </c>
      <c r="C16" s="291" t="s">
        <v>111</v>
      </c>
      <c r="D16" s="308">
        <f>D15/D12</f>
        <v>3.4973578630892526</v>
      </c>
      <c r="H16" s="204">
        <f>SUM(H5:H15)</f>
        <v>67.963661129644592</v>
      </c>
      <c r="J16" s="205"/>
      <c r="K16" s="204">
        <f>SUM(K5:K15)</f>
        <v>56.775179935966875</v>
      </c>
      <c r="L16" s="202"/>
      <c r="M16" s="204">
        <f>SUM(M5:M15)</f>
        <v>11.188481193677738</v>
      </c>
      <c r="N16" s="200"/>
    </row>
    <row r="17" spans="3:18">
      <c r="E17" s="200"/>
      <c r="F17" s="200"/>
      <c r="G17" s="200">
        <v>1</v>
      </c>
    </row>
    <row r="18" spans="3:18">
      <c r="E18" s="200" t="s">
        <v>162</v>
      </c>
      <c r="F18" s="200">
        <f>F9</f>
        <v>0.29699999999999999</v>
      </c>
      <c r="G18" s="200">
        <v>0.75</v>
      </c>
      <c r="N18" s="104"/>
      <c r="O18" s="104"/>
      <c r="P18" s="104"/>
      <c r="Q18" s="104"/>
      <c r="R18" s="184"/>
    </row>
    <row r="19" spans="3:18">
      <c r="E19" s="200" t="s">
        <v>164</v>
      </c>
      <c r="F19" s="200">
        <f>F10</f>
        <v>0.14899999999999999</v>
      </c>
      <c r="G19" s="200">
        <v>0.5</v>
      </c>
      <c r="N19" s="184"/>
      <c r="O19" s="294"/>
      <c r="P19" s="104"/>
      <c r="Q19" s="104"/>
      <c r="R19" s="294"/>
    </row>
    <row r="20" spans="3:18">
      <c r="E20" s="200" t="s">
        <v>166</v>
      </c>
      <c r="F20" s="200">
        <f>F19/2</f>
        <v>7.4499999999999997E-2</v>
      </c>
      <c r="G20" s="200">
        <v>0.75</v>
      </c>
      <c r="N20" s="184"/>
      <c r="O20" s="294"/>
      <c r="P20" s="104"/>
      <c r="Q20" s="104"/>
      <c r="R20" s="294"/>
    </row>
    <row r="21" spans="3:18">
      <c r="E21" s="200"/>
      <c r="F21" s="200"/>
      <c r="G21" s="200">
        <v>1</v>
      </c>
      <c r="O21" s="294"/>
      <c r="P21" s="104"/>
    </row>
    <row r="22" spans="3:18" ht="20.399999999999999">
      <c r="D22" s="291" t="s">
        <v>189</v>
      </c>
      <c r="E22" s="295" t="s">
        <v>182</v>
      </c>
      <c r="F22" s="295" t="s">
        <v>183</v>
      </c>
      <c r="G22" s="296" t="s">
        <v>187</v>
      </c>
    </row>
    <row r="23" spans="3:18">
      <c r="D23" s="297" t="s">
        <v>39</v>
      </c>
      <c r="E23" s="282" t="s">
        <v>185</v>
      </c>
      <c r="F23" s="282" t="s">
        <v>186</v>
      </c>
      <c r="G23" s="291" t="s">
        <v>190</v>
      </c>
      <c r="L23" s="184"/>
    </row>
    <row r="24" spans="3:18">
      <c r="D24" s="298">
        <f>E5</f>
        <v>4760</v>
      </c>
      <c r="E24" s="299">
        <f t="shared" ref="E24:E30" si="8">8.39*((1+((0.0103*((1-D$13)^4.66)*9810)/D$16^2)*F5^3*(D$11-1))^0.5-1)*D$16/F5</f>
        <v>162.40349031065492</v>
      </c>
      <c r="F24" s="300">
        <f t="shared" ref="F24:F30" si="9">F5/(12*25.4)</f>
        <v>1.5616797900262469E-2</v>
      </c>
      <c r="G24" s="301">
        <f t="shared" ref="G24:G30" si="10">E24*D$9</f>
        <v>12356.567671451034</v>
      </c>
    </row>
    <row r="25" spans="3:18">
      <c r="D25" s="298">
        <f t="shared" ref="D25:D34" si="11">E6</f>
        <v>2380</v>
      </c>
      <c r="E25" s="299">
        <f t="shared" si="8"/>
        <v>107.42323555285192</v>
      </c>
      <c r="F25" s="300">
        <f t="shared" si="9"/>
        <v>7.8083989501312344E-3</v>
      </c>
      <c r="G25" s="301">
        <f t="shared" si="10"/>
        <v>8173.3617735428243</v>
      </c>
      <c r="K25" s="302"/>
    </row>
    <row r="26" spans="3:18">
      <c r="D26" s="298">
        <f t="shared" si="11"/>
        <v>1190</v>
      </c>
      <c r="E26" s="299">
        <f t="shared" si="8"/>
        <v>63.104892091308294</v>
      </c>
      <c r="F26" s="300">
        <f t="shared" si="9"/>
        <v>3.9041994750656172E-3</v>
      </c>
      <c r="G26" s="301">
        <f t="shared" si="10"/>
        <v>4801.3738376822794</v>
      </c>
    </row>
    <row r="27" spans="3:18">
      <c r="C27" s="304"/>
      <c r="D27" s="298">
        <f t="shared" si="11"/>
        <v>595</v>
      </c>
      <c r="E27" s="299">
        <f t="shared" si="8"/>
        <v>28.009478978988248</v>
      </c>
      <c r="F27" s="300">
        <f t="shared" si="9"/>
        <v>1.9520997375328086E-3</v>
      </c>
      <c r="G27" s="301">
        <f t="shared" si="10"/>
        <v>2131.1181291972921</v>
      </c>
    </row>
    <row r="28" spans="3:18">
      <c r="C28" s="304"/>
      <c r="D28" s="298">
        <f t="shared" si="11"/>
        <v>297</v>
      </c>
      <c r="E28" s="299">
        <f t="shared" si="8"/>
        <v>8.5875024630043217</v>
      </c>
      <c r="F28" s="300">
        <f t="shared" si="9"/>
        <v>9.7440944881889771E-4</v>
      </c>
      <c r="G28" s="301">
        <f t="shared" si="10"/>
        <v>653.38531277799484</v>
      </c>
    </row>
    <row r="29" spans="3:18">
      <c r="C29" s="304"/>
      <c r="D29" s="298">
        <f t="shared" si="11"/>
        <v>149</v>
      </c>
      <c r="E29" s="299">
        <f t="shared" si="8"/>
        <v>2.2425218070428623</v>
      </c>
      <c r="F29" s="300">
        <f t="shared" si="9"/>
        <v>4.8884514435695544E-4</v>
      </c>
      <c r="G29" s="301">
        <f t="shared" si="10"/>
        <v>170.62362644069233</v>
      </c>
    </row>
    <row r="30" spans="3:18">
      <c r="C30" s="304"/>
      <c r="D30" s="298">
        <f t="shared" si="11"/>
        <v>74</v>
      </c>
      <c r="E30" s="299">
        <f t="shared" si="8"/>
        <v>0.55589014295972017</v>
      </c>
      <c r="F30" s="300">
        <f t="shared" si="9"/>
        <v>2.4278215223097116E-4</v>
      </c>
      <c r="G30" s="301">
        <f t="shared" si="10"/>
        <v>42.295237351334926</v>
      </c>
    </row>
    <row r="31" spans="3:18">
      <c r="C31" s="304"/>
      <c r="D31" s="298">
        <f t="shared" si="11"/>
        <v>0</v>
      </c>
      <c r="E31" s="299"/>
      <c r="F31" s="282"/>
      <c r="G31" s="282"/>
    </row>
    <row r="32" spans="3:18">
      <c r="C32" s="304"/>
      <c r="D32" s="298">
        <f t="shared" si="11"/>
        <v>0</v>
      </c>
      <c r="E32" s="299"/>
      <c r="F32" s="282"/>
      <c r="G32" s="282"/>
    </row>
    <row r="33" spans="3:7">
      <c r="C33" s="304"/>
      <c r="D33" s="298">
        <f t="shared" si="11"/>
        <v>0</v>
      </c>
      <c r="E33" s="282"/>
      <c r="F33" s="282"/>
      <c r="G33" s="282"/>
    </row>
    <row r="34" spans="3:7">
      <c r="C34" s="304"/>
      <c r="D34" s="298">
        <f t="shared" si="11"/>
        <v>0</v>
      </c>
      <c r="E34" s="282"/>
      <c r="F34" s="282"/>
      <c r="G34" s="282"/>
    </row>
    <row r="35" spans="3:7">
      <c r="C35" s="304"/>
      <c r="D35" s="281"/>
    </row>
    <row r="36" spans="3:7">
      <c r="C36" s="304"/>
      <c r="D36" s="281"/>
    </row>
    <row r="37" spans="3:7">
      <c r="C37" s="304"/>
      <c r="D37" s="281"/>
    </row>
    <row r="38" spans="3:7">
      <c r="C38" s="21"/>
    </row>
    <row r="39" spans="3:7">
      <c r="C39" s="21"/>
    </row>
    <row r="40" spans="3:7">
      <c r="C40" s="21"/>
    </row>
    <row r="41" spans="3:7">
      <c r="C41" s="21"/>
    </row>
    <row r="42" spans="3:7">
      <c r="C42" s="21"/>
    </row>
    <row r="43" spans="3:7">
      <c r="C43" s="21"/>
    </row>
    <row r="44" spans="3:7">
      <c r="C44" s="21"/>
    </row>
    <row r="45" spans="3:7">
      <c r="C45" s="21"/>
    </row>
    <row r="46" spans="3:7">
      <c r="C46" s="21"/>
    </row>
    <row r="47" spans="3:7">
      <c r="C47" s="304"/>
      <c r="D47" s="281"/>
    </row>
    <row r="48" spans="3:7">
      <c r="C48" s="304"/>
      <c r="D48" s="28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6"/>
  <sheetViews>
    <sheetView workbookViewId="0">
      <selection activeCell="B1" sqref="B1:C2"/>
    </sheetView>
  </sheetViews>
  <sheetFormatPr defaultRowHeight="14.4"/>
  <cols>
    <col min="1" max="1" width="3.88671875" customWidth="1"/>
    <col min="2" max="4" width="7.5546875" customWidth="1"/>
    <col min="5" max="5" width="6.6640625" customWidth="1"/>
    <col min="6" max="6" width="2.33203125" customWidth="1"/>
    <col min="7" max="7" width="5.21875" customWidth="1"/>
    <col min="8" max="8" width="1.6640625" customWidth="1"/>
    <col min="9" max="9" width="5.77734375" customWidth="1"/>
    <col min="10" max="10" width="7.44140625" customWidth="1"/>
    <col min="11" max="11" width="8.88671875" customWidth="1"/>
    <col min="12" max="13" width="7" customWidth="1"/>
    <col min="14" max="14" width="8.88671875" customWidth="1"/>
    <col min="15" max="15" width="9.33203125" customWidth="1"/>
    <col min="16" max="17" width="7.5546875" customWidth="1"/>
    <col min="18" max="18" width="5.21875" customWidth="1"/>
    <col min="19" max="19" width="6.77734375" customWidth="1"/>
    <col min="249" max="249" width="3.88671875" customWidth="1"/>
    <col min="250" max="252" width="7.5546875" customWidth="1"/>
    <col min="253" max="253" width="6.6640625" customWidth="1"/>
    <col min="254" max="254" width="2.33203125" customWidth="1"/>
    <col min="255" max="255" width="8.88671875" customWidth="1"/>
    <col min="256" max="256" width="1.6640625" customWidth="1"/>
    <col min="257" max="261" width="8.88671875" customWidth="1"/>
    <col min="262" max="262" width="3.88671875" customWidth="1"/>
    <col min="263" max="263" width="8.88671875" customWidth="1"/>
    <col min="264" max="264" width="9.33203125" customWidth="1"/>
    <col min="265" max="266" width="7.5546875" customWidth="1"/>
    <col min="505" max="505" width="3.88671875" customWidth="1"/>
    <col min="506" max="508" width="7.5546875" customWidth="1"/>
    <col min="509" max="509" width="6.6640625" customWidth="1"/>
    <col min="510" max="510" width="2.33203125" customWidth="1"/>
    <col min="511" max="511" width="8.88671875" customWidth="1"/>
    <col min="512" max="512" width="1.6640625" customWidth="1"/>
    <col min="513" max="517" width="8.88671875" customWidth="1"/>
    <col min="518" max="518" width="3.88671875" customWidth="1"/>
    <col min="519" max="519" width="8.88671875" customWidth="1"/>
    <col min="520" max="520" width="9.33203125" customWidth="1"/>
    <col min="521" max="522" width="7.5546875" customWidth="1"/>
    <col min="761" max="761" width="3.88671875" customWidth="1"/>
    <col min="762" max="764" width="7.5546875" customWidth="1"/>
    <col min="765" max="765" width="6.6640625" customWidth="1"/>
    <col min="766" max="766" width="2.33203125" customWidth="1"/>
    <col min="767" max="767" width="8.88671875" customWidth="1"/>
    <col min="768" max="768" width="1.6640625" customWidth="1"/>
    <col min="769" max="773" width="8.88671875" customWidth="1"/>
    <col min="774" max="774" width="3.88671875" customWidth="1"/>
    <col min="775" max="775" width="8.88671875" customWidth="1"/>
    <col min="776" max="776" width="9.33203125" customWidth="1"/>
    <col min="777" max="778" width="7.5546875" customWidth="1"/>
    <col min="1017" max="1017" width="3.88671875" customWidth="1"/>
    <col min="1018" max="1020" width="7.5546875" customWidth="1"/>
    <col min="1021" max="1021" width="6.6640625" customWidth="1"/>
    <col min="1022" max="1022" width="2.33203125" customWidth="1"/>
    <col min="1023" max="1023" width="8.88671875" customWidth="1"/>
    <col min="1024" max="1024" width="1.6640625" customWidth="1"/>
    <col min="1025" max="1029" width="8.88671875" customWidth="1"/>
    <col min="1030" max="1030" width="3.88671875" customWidth="1"/>
    <col min="1031" max="1031" width="8.88671875" customWidth="1"/>
    <col min="1032" max="1032" width="9.33203125" customWidth="1"/>
    <col min="1033" max="1034" width="7.5546875" customWidth="1"/>
    <col min="1273" max="1273" width="3.88671875" customWidth="1"/>
    <col min="1274" max="1276" width="7.5546875" customWidth="1"/>
    <col min="1277" max="1277" width="6.6640625" customWidth="1"/>
    <col min="1278" max="1278" width="2.33203125" customWidth="1"/>
    <col min="1279" max="1279" width="8.88671875" customWidth="1"/>
    <col min="1280" max="1280" width="1.6640625" customWidth="1"/>
    <col min="1281" max="1285" width="8.88671875" customWidth="1"/>
    <col min="1286" max="1286" width="3.88671875" customWidth="1"/>
    <col min="1287" max="1287" width="8.88671875" customWidth="1"/>
    <col min="1288" max="1288" width="9.33203125" customWidth="1"/>
    <col min="1289" max="1290" width="7.5546875" customWidth="1"/>
    <col min="1529" max="1529" width="3.88671875" customWidth="1"/>
    <col min="1530" max="1532" width="7.5546875" customWidth="1"/>
    <col min="1533" max="1533" width="6.6640625" customWidth="1"/>
    <col min="1534" max="1534" width="2.33203125" customWidth="1"/>
    <col min="1535" max="1535" width="8.88671875" customWidth="1"/>
    <col min="1536" max="1536" width="1.6640625" customWidth="1"/>
    <col min="1537" max="1541" width="8.88671875" customWidth="1"/>
    <col min="1542" max="1542" width="3.88671875" customWidth="1"/>
    <col min="1543" max="1543" width="8.88671875" customWidth="1"/>
    <col min="1544" max="1544" width="9.33203125" customWidth="1"/>
    <col min="1545" max="1546" width="7.5546875" customWidth="1"/>
    <col min="1785" max="1785" width="3.88671875" customWidth="1"/>
    <col min="1786" max="1788" width="7.5546875" customWidth="1"/>
    <col min="1789" max="1789" width="6.6640625" customWidth="1"/>
    <col min="1790" max="1790" width="2.33203125" customWidth="1"/>
    <col min="1791" max="1791" width="8.88671875" customWidth="1"/>
    <col min="1792" max="1792" width="1.6640625" customWidth="1"/>
    <col min="1793" max="1797" width="8.88671875" customWidth="1"/>
    <col min="1798" max="1798" width="3.88671875" customWidth="1"/>
    <col min="1799" max="1799" width="8.88671875" customWidth="1"/>
    <col min="1800" max="1800" width="9.33203125" customWidth="1"/>
    <col min="1801" max="1802" width="7.5546875" customWidth="1"/>
    <col min="2041" max="2041" width="3.88671875" customWidth="1"/>
    <col min="2042" max="2044" width="7.5546875" customWidth="1"/>
    <col min="2045" max="2045" width="6.6640625" customWidth="1"/>
    <col min="2046" max="2046" width="2.33203125" customWidth="1"/>
    <col min="2047" max="2047" width="8.88671875" customWidth="1"/>
    <col min="2048" max="2048" width="1.6640625" customWidth="1"/>
    <col min="2049" max="2053" width="8.88671875" customWidth="1"/>
    <col min="2054" max="2054" width="3.88671875" customWidth="1"/>
    <col min="2055" max="2055" width="8.88671875" customWidth="1"/>
    <col min="2056" max="2056" width="9.33203125" customWidth="1"/>
    <col min="2057" max="2058" width="7.5546875" customWidth="1"/>
    <col min="2297" max="2297" width="3.88671875" customWidth="1"/>
    <col min="2298" max="2300" width="7.5546875" customWidth="1"/>
    <col min="2301" max="2301" width="6.6640625" customWidth="1"/>
    <col min="2302" max="2302" width="2.33203125" customWidth="1"/>
    <col min="2303" max="2303" width="8.88671875" customWidth="1"/>
    <col min="2304" max="2304" width="1.6640625" customWidth="1"/>
    <col min="2305" max="2309" width="8.88671875" customWidth="1"/>
    <col min="2310" max="2310" width="3.88671875" customWidth="1"/>
    <col min="2311" max="2311" width="8.88671875" customWidth="1"/>
    <col min="2312" max="2312" width="9.33203125" customWidth="1"/>
    <col min="2313" max="2314" width="7.5546875" customWidth="1"/>
    <col min="2553" max="2553" width="3.88671875" customWidth="1"/>
    <col min="2554" max="2556" width="7.5546875" customWidth="1"/>
    <col min="2557" max="2557" width="6.6640625" customWidth="1"/>
    <col min="2558" max="2558" width="2.33203125" customWidth="1"/>
    <col min="2559" max="2559" width="8.88671875" customWidth="1"/>
    <col min="2560" max="2560" width="1.6640625" customWidth="1"/>
    <col min="2561" max="2565" width="8.88671875" customWidth="1"/>
    <col min="2566" max="2566" width="3.88671875" customWidth="1"/>
    <col min="2567" max="2567" width="8.88671875" customWidth="1"/>
    <col min="2568" max="2568" width="9.33203125" customWidth="1"/>
    <col min="2569" max="2570" width="7.5546875" customWidth="1"/>
    <col min="2809" max="2809" width="3.88671875" customWidth="1"/>
    <col min="2810" max="2812" width="7.5546875" customWidth="1"/>
    <col min="2813" max="2813" width="6.6640625" customWidth="1"/>
    <col min="2814" max="2814" width="2.33203125" customWidth="1"/>
    <col min="2815" max="2815" width="8.88671875" customWidth="1"/>
    <col min="2816" max="2816" width="1.6640625" customWidth="1"/>
    <col min="2817" max="2821" width="8.88671875" customWidth="1"/>
    <col min="2822" max="2822" width="3.88671875" customWidth="1"/>
    <col min="2823" max="2823" width="8.88671875" customWidth="1"/>
    <col min="2824" max="2824" width="9.33203125" customWidth="1"/>
    <col min="2825" max="2826" width="7.5546875" customWidth="1"/>
    <col min="3065" max="3065" width="3.88671875" customWidth="1"/>
    <col min="3066" max="3068" width="7.5546875" customWidth="1"/>
    <col min="3069" max="3069" width="6.6640625" customWidth="1"/>
    <col min="3070" max="3070" width="2.33203125" customWidth="1"/>
    <col min="3071" max="3071" width="8.88671875" customWidth="1"/>
    <col min="3072" max="3072" width="1.6640625" customWidth="1"/>
    <col min="3073" max="3077" width="8.88671875" customWidth="1"/>
    <col min="3078" max="3078" width="3.88671875" customWidth="1"/>
    <col min="3079" max="3079" width="8.88671875" customWidth="1"/>
    <col min="3080" max="3080" width="9.33203125" customWidth="1"/>
    <col min="3081" max="3082" width="7.5546875" customWidth="1"/>
    <col min="3321" max="3321" width="3.88671875" customWidth="1"/>
    <col min="3322" max="3324" width="7.5546875" customWidth="1"/>
    <col min="3325" max="3325" width="6.6640625" customWidth="1"/>
    <col min="3326" max="3326" width="2.33203125" customWidth="1"/>
    <col min="3327" max="3327" width="8.88671875" customWidth="1"/>
    <col min="3328" max="3328" width="1.6640625" customWidth="1"/>
    <col min="3329" max="3333" width="8.88671875" customWidth="1"/>
    <col min="3334" max="3334" width="3.88671875" customWidth="1"/>
    <col min="3335" max="3335" width="8.88671875" customWidth="1"/>
    <col min="3336" max="3336" width="9.33203125" customWidth="1"/>
    <col min="3337" max="3338" width="7.5546875" customWidth="1"/>
    <col min="3577" max="3577" width="3.88671875" customWidth="1"/>
    <col min="3578" max="3580" width="7.5546875" customWidth="1"/>
    <col min="3581" max="3581" width="6.6640625" customWidth="1"/>
    <col min="3582" max="3582" width="2.33203125" customWidth="1"/>
    <col min="3583" max="3583" width="8.88671875" customWidth="1"/>
    <col min="3584" max="3584" width="1.6640625" customWidth="1"/>
    <col min="3585" max="3589" width="8.88671875" customWidth="1"/>
    <col min="3590" max="3590" width="3.88671875" customWidth="1"/>
    <col min="3591" max="3591" width="8.88671875" customWidth="1"/>
    <col min="3592" max="3592" width="9.33203125" customWidth="1"/>
    <col min="3593" max="3594" width="7.5546875" customWidth="1"/>
    <col min="3833" max="3833" width="3.88671875" customWidth="1"/>
    <col min="3834" max="3836" width="7.5546875" customWidth="1"/>
    <col min="3837" max="3837" width="6.6640625" customWidth="1"/>
    <col min="3838" max="3838" width="2.33203125" customWidth="1"/>
    <col min="3839" max="3839" width="8.88671875" customWidth="1"/>
    <col min="3840" max="3840" width="1.6640625" customWidth="1"/>
    <col min="3841" max="3845" width="8.88671875" customWidth="1"/>
    <col min="3846" max="3846" width="3.88671875" customWidth="1"/>
    <col min="3847" max="3847" width="8.88671875" customWidth="1"/>
    <col min="3848" max="3848" width="9.33203125" customWidth="1"/>
    <col min="3849" max="3850" width="7.5546875" customWidth="1"/>
    <col min="4089" max="4089" width="3.88671875" customWidth="1"/>
    <col min="4090" max="4092" width="7.5546875" customWidth="1"/>
    <col min="4093" max="4093" width="6.6640625" customWidth="1"/>
    <col min="4094" max="4094" width="2.33203125" customWidth="1"/>
    <col min="4095" max="4095" width="8.88671875" customWidth="1"/>
    <col min="4096" max="4096" width="1.6640625" customWidth="1"/>
    <col min="4097" max="4101" width="8.88671875" customWidth="1"/>
    <col min="4102" max="4102" width="3.88671875" customWidth="1"/>
    <col min="4103" max="4103" width="8.88671875" customWidth="1"/>
    <col min="4104" max="4104" width="9.33203125" customWidth="1"/>
    <col min="4105" max="4106" width="7.5546875" customWidth="1"/>
    <col min="4345" max="4345" width="3.88671875" customWidth="1"/>
    <col min="4346" max="4348" width="7.5546875" customWidth="1"/>
    <col min="4349" max="4349" width="6.6640625" customWidth="1"/>
    <col min="4350" max="4350" width="2.33203125" customWidth="1"/>
    <col min="4351" max="4351" width="8.88671875" customWidth="1"/>
    <col min="4352" max="4352" width="1.6640625" customWidth="1"/>
    <col min="4353" max="4357" width="8.88671875" customWidth="1"/>
    <col min="4358" max="4358" width="3.88671875" customWidth="1"/>
    <col min="4359" max="4359" width="8.88671875" customWidth="1"/>
    <col min="4360" max="4360" width="9.33203125" customWidth="1"/>
    <col min="4361" max="4362" width="7.5546875" customWidth="1"/>
    <col min="4601" max="4601" width="3.88671875" customWidth="1"/>
    <col min="4602" max="4604" width="7.5546875" customWidth="1"/>
    <col min="4605" max="4605" width="6.6640625" customWidth="1"/>
    <col min="4606" max="4606" width="2.33203125" customWidth="1"/>
    <col min="4607" max="4607" width="8.88671875" customWidth="1"/>
    <col min="4608" max="4608" width="1.6640625" customWidth="1"/>
    <col min="4609" max="4613" width="8.88671875" customWidth="1"/>
    <col min="4614" max="4614" width="3.88671875" customWidth="1"/>
    <col min="4615" max="4615" width="8.88671875" customWidth="1"/>
    <col min="4616" max="4616" width="9.33203125" customWidth="1"/>
    <col min="4617" max="4618" width="7.5546875" customWidth="1"/>
    <col min="4857" max="4857" width="3.88671875" customWidth="1"/>
    <col min="4858" max="4860" width="7.5546875" customWidth="1"/>
    <col min="4861" max="4861" width="6.6640625" customWidth="1"/>
    <col min="4862" max="4862" width="2.33203125" customWidth="1"/>
    <col min="4863" max="4863" width="8.88671875" customWidth="1"/>
    <col min="4864" max="4864" width="1.6640625" customWidth="1"/>
    <col min="4865" max="4869" width="8.88671875" customWidth="1"/>
    <col min="4870" max="4870" width="3.88671875" customWidth="1"/>
    <col min="4871" max="4871" width="8.88671875" customWidth="1"/>
    <col min="4872" max="4872" width="9.33203125" customWidth="1"/>
    <col min="4873" max="4874" width="7.5546875" customWidth="1"/>
    <col min="5113" max="5113" width="3.88671875" customWidth="1"/>
    <col min="5114" max="5116" width="7.5546875" customWidth="1"/>
    <col min="5117" max="5117" width="6.6640625" customWidth="1"/>
    <col min="5118" max="5118" width="2.33203125" customWidth="1"/>
    <col min="5119" max="5119" width="8.88671875" customWidth="1"/>
    <col min="5120" max="5120" width="1.6640625" customWidth="1"/>
    <col min="5121" max="5125" width="8.88671875" customWidth="1"/>
    <col min="5126" max="5126" width="3.88671875" customWidth="1"/>
    <col min="5127" max="5127" width="8.88671875" customWidth="1"/>
    <col min="5128" max="5128" width="9.33203125" customWidth="1"/>
    <col min="5129" max="5130" width="7.5546875" customWidth="1"/>
    <col min="5369" max="5369" width="3.88671875" customWidth="1"/>
    <col min="5370" max="5372" width="7.5546875" customWidth="1"/>
    <col min="5373" max="5373" width="6.6640625" customWidth="1"/>
    <col min="5374" max="5374" width="2.33203125" customWidth="1"/>
    <col min="5375" max="5375" width="8.88671875" customWidth="1"/>
    <col min="5376" max="5376" width="1.6640625" customWidth="1"/>
    <col min="5377" max="5381" width="8.88671875" customWidth="1"/>
    <col min="5382" max="5382" width="3.88671875" customWidth="1"/>
    <col min="5383" max="5383" width="8.88671875" customWidth="1"/>
    <col min="5384" max="5384" width="9.33203125" customWidth="1"/>
    <col min="5385" max="5386" width="7.5546875" customWidth="1"/>
    <col min="5625" max="5625" width="3.88671875" customWidth="1"/>
    <col min="5626" max="5628" width="7.5546875" customWidth="1"/>
    <col min="5629" max="5629" width="6.6640625" customWidth="1"/>
    <col min="5630" max="5630" width="2.33203125" customWidth="1"/>
    <col min="5631" max="5631" width="8.88671875" customWidth="1"/>
    <col min="5632" max="5632" width="1.6640625" customWidth="1"/>
    <col min="5633" max="5637" width="8.88671875" customWidth="1"/>
    <col min="5638" max="5638" width="3.88671875" customWidth="1"/>
    <col min="5639" max="5639" width="8.88671875" customWidth="1"/>
    <col min="5640" max="5640" width="9.33203125" customWidth="1"/>
    <col min="5641" max="5642" width="7.5546875" customWidth="1"/>
    <col min="5881" max="5881" width="3.88671875" customWidth="1"/>
    <col min="5882" max="5884" width="7.5546875" customWidth="1"/>
    <col min="5885" max="5885" width="6.6640625" customWidth="1"/>
    <col min="5886" max="5886" width="2.33203125" customWidth="1"/>
    <col min="5887" max="5887" width="8.88671875" customWidth="1"/>
    <col min="5888" max="5888" width="1.6640625" customWidth="1"/>
    <col min="5889" max="5893" width="8.88671875" customWidth="1"/>
    <col min="5894" max="5894" width="3.88671875" customWidth="1"/>
    <col min="5895" max="5895" width="8.88671875" customWidth="1"/>
    <col min="5896" max="5896" width="9.33203125" customWidth="1"/>
    <col min="5897" max="5898" width="7.5546875" customWidth="1"/>
    <col min="6137" max="6137" width="3.88671875" customWidth="1"/>
    <col min="6138" max="6140" width="7.5546875" customWidth="1"/>
    <col min="6141" max="6141" width="6.6640625" customWidth="1"/>
    <col min="6142" max="6142" width="2.33203125" customWidth="1"/>
    <col min="6143" max="6143" width="8.88671875" customWidth="1"/>
    <col min="6144" max="6144" width="1.6640625" customWidth="1"/>
    <col min="6145" max="6149" width="8.88671875" customWidth="1"/>
    <col min="6150" max="6150" width="3.88671875" customWidth="1"/>
    <col min="6151" max="6151" width="8.88671875" customWidth="1"/>
    <col min="6152" max="6152" width="9.33203125" customWidth="1"/>
    <col min="6153" max="6154" width="7.5546875" customWidth="1"/>
    <col min="6393" max="6393" width="3.88671875" customWidth="1"/>
    <col min="6394" max="6396" width="7.5546875" customWidth="1"/>
    <col min="6397" max="6397" width="6.6640625" customWidth="1"/>
    <col min="6398" max="6398" width="2.33203125" customWidth="1"/>
    <col min="6399" max="6399" width="8.88671875" customWidth="1"/>
    <col min="6400" max="6400" width="1.6640625" customWidth="1"/>
    <col min="6401" max="6405" width="8.88671875" customWidth="1"/>
    <col min="6406" max="6406" width="3.88671875" customWidth="1"/>
    <col min="6407" max="6407" width="8.88671875" customWidth="1"/>
    <col min="6408" max="6408" width="9.33203125" customWidth="1"/>
    <col min="6409" max="6410" width="7.5546875" customWidth="1"/>
    <col min="6649" max="6649" width="3.88671875" customWidth="1"/>
    <col min="6650" max="6652" width="7.5546875" customWidth="1"/>
    <col min="6653" max="6653" width="6.6640625" customWidth="1"/>
    <col min="6654" max="6654" width="2.33203125" customWidth="1"/>
    <col min="6655" max="6655" width="8.88671875" customWidth="1"/>
    <col min="6656" max="6656" width="1.6640625" customWidth="1"/>
    <col min="6657" max="6661" width="8.88671875" customWidth="1"/>
    <col min="6662" max="6662" width="3.88671875" customWidth="1"/>
    <col min="6663" max="6663" width="8.88671875" customWidth="1"/>
    <col min="6664" max="6664" width="9.33203125" customWidth="1"/>
    <col min="6665" max="6666" width="7.5546875" customWidth="1"/>
    <col min="6905" max="6905" width="3.88671875" customWidth="1"/>
    <col min="6906" max="6908" width="7.5546875" customWidth="1"/>
    <col min="6909" max="6909" width="6.6640625" customWidth="1"/>
    <col min="6910" max="6910" width="2.33203125" customWidth="1"/>
    <col min="6911" max="6911" width="8.88671875" customWidth="1"/>
    <col min="6912" max="6912" width="1.6640625" customWidth="1"/>
    <col min="6913" max="6917" width="8.88671875" customWidth="1"/>
    <col min="6918" max="6918" width="3.88671875" customWidth="1"/>
    <col min="6919" max="6919" width="8.88671875" customWidth="1"/>
    <col min="6920" max="6920" width="9.33203125" customWidth="1"/>
    <col min="6921" max="6922" width="7.5546875" customWidth="1"/>
    <col min="7161" max="7161" width="3.88671875" customWidth="1"/>
    <col min="7162" max="7164" width="7.5546875" customWidth="1"/>
    <col min="7165" max="7165" width="6.6640625" customWidth="1"/>
    <col min="7166" max="7166" width="2.33203125" customWidth="1"/>
    <col min="7167" max="7167" width="8.88671875" customWidth="1"/>
    <col min="7168" max="7168" width="1.6640625" customWidth="1"/>
    <col min="7169" max="7173" width="8.88671875" customWidth="1"/>
    <col min="7174" max="7174" width="3.88671875" customWidth="1"/>
    <col min="7175" max="7175" width="8.88671875" customWidth="1"/>
    <col min="7176" max="7176" width="9.33203125" customWidth="1"/>
    <col min="7177" max="7178" width="7.5546875" customWidth="1"/>
    <col min="7417" max="7417" width="3.88671875" customWidth="1"/>
    <col min="7418" max="7420" width="7.5546875" customWidth="1"/>
    <col min="7421" max="7421" width="6.6640625" customWidth="1"/>
    <col min="7422" max="7422" width="2.33203125" customWidth="1"/>
    <col min="7423" max="7423" width="8.88671875" customWidth="1"/>
    <col min="7424" max="7424" width="1.6640625" customWidth="1"/>
    <col min="7425" max="7429" width="8.88671875" customWidth="1"/>
    <col min="7430" max="7430" width="3.88671875" customWidth="1"/>
    <col min="7431" max="7431" width="8.88671875" customWidth="1"/>
    <col min="7432" max="7432" width="9.33203125" customWidth="1"/>
    <col min="7433" max="7434" width="7.5546875" customWidth="1"/>
    <col min="7673" max="7673" width="3.88671875" customWidth="1"/>
    <col min="7674" max="7676" width="7.5546875" customWidth="1"/>
    <col min="7677" max="7677" width="6.6640625" customWidth="1"/>
    <col min="7678" max="7678" width="2.33203125" customWidth="1"/>
    <col min="7679" max="7679" width="8.88671875" customWidth="1"/>
    <col min="7680" max="7680" width="1.6640625" customWidth="1"/>
    <col min="7681" max="7685" width="8.88671875" customWidth="1"/>
    <col min="7686" max="7686" width="3.88671875" customWidth="1"/>
    <col min="7687" max="7687" width="8.88671875" customWidth="1"/>
    <col min="7688" max="7688" width="9.33203125" customWidth="1"/>
    <col min="7689" max="7690" width="7.5546875" customWidth="1"/>
    <col min="7929" max="7929" width="3.88671875" customWidth="1"/>
    <col min="7930" max="7932" width="7.5546875" customWidth="1"/>
    <col min="7933" max="7933" width="6.6640625" customWidth="1"/>
    <col min="7934" max="7934" width="2.33203125" customWidth="1"/>
    <col min="7935" max="7935" width="8.88671875" customWidth="1"/>
    <col min="7936" max="7936" width="1.6640625" customWidth="1"/>
    <col min="7937" max="7941" width="8.88671875" customWidth="1"/>
    <col min="7942" max="7942" width="3.88671875" customWidth="1"/>
    <col min="7943" max="7943" width="8.88671875" customWidth="1"/>
    <col min="7944" max="7944" width="9.33203125" customWidth="1"/>
    <col min="7945" max="7946" width="7.5546875" customWidth="1"/>
    <col min="8185" max="8185" width="3.88671875" customWidth="1"/>
    <col min="8186" max="8188" width="7.5546875" customWidth="1"/>
    <col min="8189" max="8189" width="6.6640625" customWidth="1"/>
    <col min="8190" max="8190" width="2.33203125" customWidth="1"/>
    <col min="8191" max="8191" width="8.88671875" customWidth="1"/>
    <col min="8192" max="8192" width="1.6640625" customWidth="1"/>
    <col min="8193" max="8197" width="8.88671875" customWidth="1"/>
    <col min="8198" max="8198" width="3.88671875" customWidth="1"/>
    <col min="8199" max="8199" width="8.88671875" customWidth="1"/>
    <col min="8200" max="8200" width="9.33203125" customWidth="1"/>
    <col min="8201" max="8202" width="7.5546875" customWidth="1"/>
    <col min="8441" max="8441" width="3.88671875" customWidth="1"/>
    <col min="8442" max="8444" width="7.5546875" customWidth="1"/>
    <col min="8445" max="8445" width="6.6640625" customWidth="1"/>
    <col min="8446" max="8446" width="2.33203125" customWidth="1"/>
    <col min="8447" max="8447" width="8.88671875" customWidth="1"/>
    <col min="8448" max="8448" width="1.6640625" customWidth="1"/>
    <col min="8449" max="8453" width="8.88671875" customWidth="1"/>
    <col min="8454" max="8454" width="3.88671875" customWidth="1"/>
    <col min="8455" max="8455" width="8.88671875" customWidth="1"/>
    <col min="8456" max="8456" width="9.33203125" customWidth="1"/>
    <col min="8457" max="8458" width="7.5546875" customWidth="1"/>
    <col min="8697" max="8697" width="3.88671875" customWidth="1"/>
    <col min="8698" max="8700" width="7.5546875" customWidth="1"/>
    <col min="8701" max="8701" width="6.6640625" customWidth="1"/>
    <col min="8702" max="8702" width="2.33203125" customWidth="1"/>
    <col min="8703" max="8703" width="8.88671875" customWidth="1"/>
    <col min="8704" max="8704" width="1.6640625" customWidth="1"/>
    <col min="8705" max="8709" width="8.88671875" customWidth="1"/>
    <col min="8710" max="8710" width="3.88671875" customWidth="1"/>
    <col min="8711" max="8711" width="8.88671875" customWidth="1"/>
    <col min="8712" max="8712" width="9.33203125" customWidth="1"/>
    <col min="8713" max="8714" width="7.5546875" customWidth="1"/>
    <col min="8953" max="8953" width="3.88671875" customWidth="1"/>
    <col min="8954" max="8956" width="7.5546875" customWidth="1"/>
    <col min="8957" max="8957" width="6.6640625" customWidth="1"/>
    <col min="8958" max="8958" width="2.33203125" customWidth="1"/>
    <col min="8959" max="8959" width="8.88671875" customWidth="1"/>
    <col min="8960" max="8960" width="1.6640625" customWidth="1"/>
    <col min="8961" max="8965" width="8.88671875" customWidth="1"/>
    <col min="8966" max="8966" width="3.88671875" customWidth="1"/>
    <col min="8967" max="8967" width="8.88671875" customWidth="1"/>
    <col min="8968" max="8968" width="9.33203125" customWidth="1"/>
    <col min="8969" max="8970" width="7.5546875" customWidth="1"/>
    <col min="9209" max="9209" width="3.88671875" customWidth="1"/>
    <col min="9210" max="9212" width="7.5546875" customWidth="1"/>
    <col min="9213" max="9213" width="6.6640625" customWidth="1"/>
    <col min="9214" max="9214" width="2.33203125" customWidth="1"/>
    <col min="9215" max="9215" width="8.88671875" customWidth="1"/>
    <col min="9216" max="9216" width="1.6640625" customWidth="1"/>
    <col min="9217" max="9221" width="8.88671875" customWidth="1"/>
    <col min="9222" max="9222" width="3.88671875" customWidth="1"/>
    <col min="9223" max="9223" width="8.88671875" customWidth="1"/>
    <col min="9224" max="9224" width="9.33203125" customWidth="1"/>
    <col min="9225" max="9226" width="7.5546875" customWidth="1"/>
    <col min="9465" max="9465" width="3.88671875" customWidth="1"/>
    <col min="9466" max="9468" width="7.5546875" customWidth="1"/>
    <col min="9469" max="9469" width="6.6640625" customWidth="1"/>
    <col min="9470" max="9470" width="2.33203125" customWidth="1"/>
    <col min="9471" max="9471" width="8.88671875" customWidth="1"/>
    <col min="9472" max="9472" width="1.6640625" customWidth="1"/>
    <col min="9473" max="9477" width="8.88671875" customWidth="1"/>
    <col min="9478" max="9478" width="3.88671875" customWidth="1"/>
    <col min="9479" max="9479" width="8.88671875" customWidth="1"/>
    <col min="9480" max="9480" width="9.33203125" customWidth="1"/>
    <col min="9481" max="9482" width="7.5546875" customWidth="1"/>
    <col min="9721" max="9721" width="3.88671875" customWidth="1"/>
    <col min="9722" max="9724" width="7.5546875" customWidth="1"/>
    <col min="9725" max="9725" width="6.6640625" customWidth="1"/>
    <col min="9726" max="9726" width="2.33203125" customWidth="1"/>
    <col min="9727" max="9727" width="8.88671875" customWidth="1"/>
    <col min="9728" max="9728" width="1.6640625" customWidth="1"/>
    <col min="9729" max="9733" width="8.88671875" customWidth="1"/>
    <col min="9734" max="9734" width="3.88671875" customWidth="1"/>
    <col min="9735" max="9735" width="8.88671875" customWidth="1"/>
    <col min="9736" max="9736" width="9.33203125" customWidth="1"/>
    <col min="9737" max="9738" width="7.5546875" customWidth="1"/>
    <col min="9977" max="9977" width="3.88671875" customWidth="1"/>
    <col min="9978" max="9980" width="7.5546875" customWidth="1"/>
    <col min="9981" max="9981" width="6.6640625" customWidth="1"/>
    <col min="9982" max="9982" width="2.33203125" customWidth="1"/>
    <col min="9983" max="9983" width="8.88671875" customWidth="1"/>
    <col min="9984" max="9984" width="1.6640625" customWidth="1"/>
    <col min="9985" max="9989" width="8.88671875" customWidth="1"/>
    <col min="9990" max="9990" width="3.88671875" customWidth="1"/>
    <col min="9991" max="9991" width="8.88671875" customWidth="1"/>
    <col min="9992" max="9992" width="9.33203125" customWidth="1"/>
    <col min="9993" max="9994" width="7.5546875" customWidth="1"/>
    <col min="10233" max="10233" width="3.88671875" customWidth="1"/>
    <col min="10234" max="10236" width="7.5546875" customWidth="1"/>
    <col min="10237" max="10237" width="6.6640625" customWidth="1"/>
    <col min="10238" max="10238" width="2.33203125" customWidth="1"/>
    <col min="10239" max="10239" width="8.88671875" customWidth="1"/>
    <col min="10240" max="10240" width="1.6640625" customWidth="1"/>
    <col min="10241" max="10245" width="8.88671875" customWidth="1"/>
    <col min="10246" max="10246" width="3.88671875" customWidth="1"/>
    <col min="10247" max="10247" width="8.88671875" customWidth="1"/>
    <col min="10248" max="10248" width="9.33203125" customWidth="1"/>
    <col min="10249" max="10250" width="7.5546875" customWidth="1"/>
    <col min="10489" max="10489" width="3.88671875" customWidth="1"/>
    <col min="10490" max="10492" width="7.5546875" customWidth="1"/>
    <col min="10493" max="10493" width="6.6640625" customWidth="1"/>
    <col min="10494" max="10494" width="2.33203125" customWidth="1"/>
    <col min="10495" max="10495" width="8.88671875" customWidth="1"/>
    <col min="10496" max="10496" width="1.6640625" customWidth="1"/>
    <col min="10497" max="10501" width="8.88671875" customWidth="1"/>
    <col min="10502" max="10502" width="3.88671875" customWidth="1"/>
    <col min="10503" max="10503" width="8.88671875" customWidth="1"/>
    <col min="10504" max="10504" width="9.33203125" customWidth="1"/>
    <col min="10505" max="10506" width="7.5546875" customWidth="1"/>
    <col min="10745" max="10745" width="3.88671875" customWidth="1"/>
    <col min="10746" max="10748" width="7.5546875" customWidth="1"/>
    <col min="10749" max="10749" width="6.6640625" customWidth="1"/>
    <col min="10750" max="10750" width="2.33203125" customWidth="1"/>
    <col min="10751" max="10751" width="8.88671875" customWidth="1"/>
    <col min="10752" max="10752" width="1.6640625" customWidth="1"/>
    <col min="10753" max="10757" width="8.88671875" customWidth="1"/>
    <col min="10758" max="10758" width="3.88671875" customWidth="1"/>
    <col min="10759" max="10759" width="8.88671875" customWidth="1"/>
    <col min="10760" max="10760" width="9.33203125" customWidth="1"/>
    <col min="10761" max="10762" width="7.5546875" customWidth="1"/>
    <col min="11001" max="11001" width="3.88671875" customWidth="1"/>
    <col min="11002" max="11004" width="7.5546875" customWidth="1"/>
    <col min="11005" max="11005" width="6.6640625" customWidth="1"/>
    <col min="11006" max="11006" width="2.33203125" customWidth="1"/>
    <col min="11007" max="11007" width="8.88671875" customWidth="1"/>
    <col min="11008" max="11008" width="1.6640625" customWidth="1"/>
    <col min="11009" max="11013" width="8.88671875" customWidth="1"/>
    <col min="11014" max="11014" width="3.88671875" customWidth="1"/>
    <col min="11015" max="11015" width="8.88671875" customWidth="1"/>
    <col min="11016" max="11016" width="9.33203125" customWidth="1"/>
    <col min="11017" max="11018" width="7.5546875" customWidth="1"/>
    <col min="11257" max="11257" width="3.88671875" customWidth="1"/>
    <col min="11258" max="11260" width="7.5546875" customWidth="1"/>
    <col min="11261" max="11261" width="6.6640625" customWidth="1"/>
    <col min="11262" max="11262" width="2.33203125" customWidth="1"/>
    <col min="11263" max="11263" width="8.88671875" customWidth="1"/>
    <col min="11264" max="11264" width="1.6640625" customWidth="1"/>
    <col min="11265" max="11269" width="8.88671875" customWidth="1"/>
    <col min="11270" max="11270" width="3.88671875" customWidth="1"/>
    <col min="11271" max="11271" width="8.88671875" customWidth="1"/>
    <col min="11272" max="11272" width="9.33203125" customWidth="1"/>
    <col min="11273" max="11274" width="7.5546875" customWidth="1"/>
    <col min="11513" max="11513" width="3.88671875" customWidth="1"/>
    <col min="11514" max="11516" width="7.5546875" customWidth="1"/>
    <col min="11517" max="11517" width="6.6640625" customWidth="1"/>
    <col min="11518" max="11518" width="2.33203125" customWidth="1"/>
    <col min="11519" max="11519" width="8.88671875" customWidth="1"/>
    <col min="11520" max="11520" width="1.6640625" customWidth="1"/>
    <col min="11521" max="11525" width="8.88671875" customWidth="1"/>
    <col min="11526" max="11526" width="3.88671875" customWidth="1"/>
    <col min="11527" max="11527" width="8.88671875" customWidth="1"/>
    <col min="11528" max="11528" width="9.33203125" customWidth="1"/>
    <col min="11529" max="11530" width="7.5546875" customWidth="1"/>
    <col min="11769" max="11769" width="3.88671875" customWidth="1"/>
    <col min="11770" max="11772" width="7.5546875" customWidth="1"/>
    <col min="11773" max="11773" width="6.6640625" customWidth="1"/>
    <col min="11774" max="11774" width="2.33203125" customWidth="1"/>
    <col min="11775" max="11775" width="8.88671875" customWidth="1"/>
    <col min="11776" max="11776" width="1.6640625" customWidth="1"/>
    <col min="11777" max="11781" width="8.88671875" customWidth="1"/>
    <col min="11782" max="11782" width="3.88671875" customWidth="1"/>
    <col min="11783" max="11783" width="8.88671875" customWidth="1"/>
    <col min="11784" max="11784" width="9.33203125" customWidth="1"/>
    <col min="11785" max="11786" width="7.5546875" customWidth="1"/>
    <col min="12025" max="12025" width="3.88671875" customWidth="1"/>
    <col min="12026" max="12028" width="7.5546875" customWidth="1"/>
    <col min="12029" max="12029" width="6.6640625" customWidth="1"/>
    <col min="12030" max="12030" width="2.33203125" customWidth="1"/>
    <col min="12031" max="12031" width="8.88671875" customWidth="1"/>
    <col min="12032" max="12032" width="1.6640625" customWidth="1"/>
    <col min="12033" max="12037" width="8.88671875" customWidth="1"/>
    <col min="12038" max="12038" width="3.88671875" customWidth="1"/>
    <col min="12039" max="12039" width="8.88671875" customWidth="1"/>
    <col min="12040" max="12040" width="9.33203125" customWidth="1"/>
    <col min="12041" max="12042" width="7.5546875" customWidth="1"/>
    <col min="12281" max="12281" width="3.88671875" customWidth="1"/>
    <col min="12282" max="12284" width="7.5546875" customWidth="1"/>
    <col min="12285" max="12285" width="6.6640625" customWidth="1"/>
    <col min="12286" max="12286" width="2.33203125" customWidth="1"/>
    <col min="12287" max="12287" width="8.88671875" customWidth="1"/>
    <col min="12288" max="12288" width="1.6640625" customWidth="1"/>
    <col min="12289" max="12293" width="8.88671875" customWidth="1"/>
    <col min="12294" max="12294" width="3.88671875" customWidth="1"/>
    <col min="12295" max="12295" width="8.88671875" customWidth="1"/>
    <col min="12296" max="12296" width="9.33203125" customWidth="1"/>
    <col min="12297" max="12298" width="7.5546875" customWidth="1"/>
    <col min="12537" max="12537" width="3.88671875" customWidth="1"/>
    <col min="12538" max="12540" width="7.5546875" customWidth="1"/>
    <col min="12541" max="12541" width="6.6640625" customWidth="1"/>
    <col min="12542" max="12542" width="2.33203125" customWidth="1"/>
    <col min="12543" max="12543" width="8.88671875" customWidth="1"/>
    <col min="12544" max="12544" width="1.6640625" customWidth="1"/>
    <col min="12545" max="12549" width="8.88671875" customWidth="1"/>
    <col min="12550" max="12550" width="3.88671875" customWidth="1"/>
    <col min="12551" max="12551" width="8.88671875" customWidth="1"/>
    <col min="12552" max="12552" width="9.33203125" customWidth="1"/>
    <col min="12553" max="12554" width="7.5546875" customWidth="1"/>
    <col min="12793" max="12793" width="3.88671875" customWidth="1"/>
    <col min="12794" max="12796" width="7.5546875" customWidth="1"/>
    <col min="12797" max="12797" width="6.6640625" customWidth="1"/>
    <col min="12798" max="12798" width="2.33203125" customWidth="1"/>
    <col min="12799" max="12799" width="8.88671875" customWidth="1"/>
    <col min="12800" max="12800" width="1.6640625" customWidth="1"/>
    <col min="12801" max="12805" width="8.88671875" customWidth="1"/>
    <col min="12806" max="12806" width="3.88671875" customWidth="1"/>
    <col min="12807" max="12807" width="8.88671875" customWidth="1"/>
    <col min="12808" max="12808" width="9.33203125" customWidth="1"/>
    <col min="12809" max="12810" width="7.5546875" customWidth="1"/>
    <col min="13049" max="13049" width="3.88671875" customWidth="1"/>
    <col min="13050" max="13052" width="7.5546875" customWidth="1"/>
    <col min="13053" max="13053" width="6.6640625" customWidth="1"/>
    <col min="13054" max="13054" width="2.33203125" customWidth="1"/>
    <col min="13055" max="13055" width="8.88671875" customWidth="1"/>
    <col min="13056" max="13056" width="1.6640625" customWidth="1"/>
    <col min="13057" max="13061" width="8.88671875" customWidth="1"/>
    <col min="13062" max="13062" width="3.88671875" customWidth="1"/>
    <col min="13063" max="13063" width="8.88671875" customWidth="1"/>
    <col min="13064" max="13064" width="9.33203125" customWidth="1"/>
    <col min="13065" max="13066" width="7.5546875" customWidth="1"/>
    <col min="13305" max="13305" width="3.88671875" customWidth="1"/>
    <col min="13306" max="13308" width="7.5546875" customWidth="1"/>
    <col min="13309" max="13309" width="6.6640625" customWidth="1"/>
    <col min="13310" max="13310" width="2.33203125" customWidth="1"/>
    <col min="13311" max="13311" width="8.88671875" customWidth="1"/>
    <col min="13312" max="13312" width="1.6640625" customWidth="1"/>
    <col min="13313" max="13317" width="8.88671875" customWidth="1"/>
    <col min="13318" max="13318" width="3.88671875" customWidth="1"/>
    <col min="13319" max="13319" width="8.88671875" customWidth="1"/>
    <col min="13320" max="13320" width="9.33203125" customWidth="1"/>
    <col min="13321" max="13322" width="7.5546875" customWidth="1"/>
    <col min="13561" max="13561" width="3.88671875" customWidth="1"/>
    <col min="13562" max="13564" width="7.5546875" customWidth="1"/>
    <col min="13565" max="13565" width="6.6640625" customWidth="1"/>
    <col min="13566" max="13566" width="2.33203125" customWidth="1"/>
    <col min="13567" max="13567" width="8.88671875" customWidth="1"/>
    <col min="13568" max="13568" width="1.6640625" customWidth="1"/>
    <col min="13569" max="13573" width="8.88671875" customWidth="1"/>
    <col min="13574" max="13574" width="3.88671875" customWidth="1"/>
    <col min="13575" max="13575" width="8.88671875" customWidth="1"/>
    <col min="13576" max="13576" width="9.33203125" customWidth="1"/>
    <col min="13577" max="13578" width="7.5546875" customWidth="1"/>
    <col min="13817" max="13817" width="3.88671875" customWidth="1"/>
    <col min="13818" max="13820" width="7.5546875" customWidth="1"/>
    <col min="13821" max="13821" width="6.6640625" customWidth="1"/>
    <col min="13822" max="13822" width="2.33203125" customWidth="1"/>
    <col min="13823" max="13823" width="8.88671875" customWidth="1"/>
    <col min="13824" max="13824" width="1.6640625" customWidth="1"/>
    <col min="13825" max="13829" width="8.88671875" customWidth="1"/>
    <col min="13830" max="13830" width="3.88671875" customWidth="1"/>
    <col min="13831" max="13831" width="8.88671875" customWidth="1"/>
    <col min="13832" max="13832" width="9.33203125" customWidth="1"/>
    <col min="13833" max="13834" width="7.5546875" customWidth="1"/>
    <col min="14073" max="14073" width="3.88671875" customWidth="1"/>
    <col min="14074" max="14076" width="7.5546875" customWidth="1"/>
    <col min="14077" max="14077" width="6.6640625" customWidth="1"/>
    <col min="14078" max="14078" width="2.33203125" customWidth="1"/>
    <col min="14079" max="14079" width="8.88671875" customWidth="1"/>
    <col min="14080" max="14080" width="1.6640625" customWidth="1"/>
    <col min="14081" max="14085" width="8.88671875" customWidth="1"/>
    <col min="14086" max="14086" width="3.88671875" customWidth="1"/>
    <col min="14087" max="14087" width="8.88671875" customWidth="1"/>
    <col min="14088" max="14088" width="9.33203125" customWidth="1"/>
    <col min="14089" max="14090" width="7.5546875" customWidth="1"/>
    <col min="14329" max="14329" width="3.88671875" customWidth="1"/>
    <col min="14330" max="14332" width="7.5546875" customWidth="1"/>
    <col min="14333" max="14333" width="6.6640625" customWidth="1"/>
    <col min="14334" max="14334" width="2.33203125" customWidth="1"/>
    <col min="14335" max="14335" width="8.88671875" customWidth="1"/>
    <col min="14336" max="14336" width="1.6640625" customWidth="1"/>
    <col min="14337" max="14341" width="8.88671875" customWidth="1"/>
    <col min="14342" max="14342" width="3.88671875" customWidth="1"/>
    <col min="14343" max="14343" width="8.88671875" customWidth="1"/>
    <col min="14344" max="14344" width="9.33203125" customWidth="1"/>
    <col min="14345" max="14346" width="7.5546875" customWidth="1"/>
    <col min="14585" max="14585" width="3.88671875" customWidth="1"/>
    <col min="14586" max="14588" width="7.5546875" customWidth="1"/>
    <col min="14589" max="14589" width="6.6640625" customWidth="1"/>
    <col min="14590" max="14590" width="2.33203125" customWidth="1"/>
    <col min="14591" max="14591" width="8.88671875" customWidth="1"/>
    <col min="14592" max="14592" width="1.6640625" customWidth="1"/>
    <col min="14593" max="14597" width="8.88671875" customWidth="1"/>
    <col min="14598" max="14598" width="3.88671875" customWidth="1"/>
    <col min="14599" max="14599" width="8.88671875" customWidth="1"/>
    <col min="14600" max="14600" width="9.33203125" customWidth="1"/>
    <col min="14601" max="14602" width="7.5546875" customWidth="1"/>
    <col min="14841" max="14841" width="3.88671875" customWidth="1"/>
    <col min="14842" max="14844" width="7.5546875" customWidth="1"/>
    <col min="14845" max="14845" width="6.6640625" customWidth="1"/>
    <col min="14846" max="14846" width="2.33203125" customWidth="1"/>
    <col min="14847" max="14847" width="8.88671875" customWidth="1"/>
    <col min="14848" max="14848" width="1.6640625" customWidth="1"/>
    <col min="14849" max="14853" width="8.88671875" customWidth="1"/>
    <col min="14854" max="14854" width="3.88671875" customWidth="1"/>
    <col min="14855" max="14855" width="8.88671875" customWidth="1"/>
    <col min="14856" max="14856" width="9.33203125" customWidth="1"/>
    <col min="14857" max="14858" width="7.5546875" customWidth="1"/>
    <col min="15097" max="15097" width="3.88671875" customWidth="1"/>
    <col min="15098" max="15100" width="7.5546875" customWidth="1"/>
    <col min="15101" max="15101" width="6.6640625" customWidth="1"/>
    <col min="15102" max="15102" width="2.33203125" customWidth="1"/>
    <col min="15103" max="15103" width="8.88671875" customWidth="1"/>
    <col min="15104" max="15104" width="1.6640625" customWidth="1"/>
    <col min="15105" max="15109" width="8.88671875" customWidth="1"/>
    <col min="15110" max="15110" width="3.88671875" customWidth="1"/>
    <col min="15111" max="15111" width="8.88671875" customWidth="1"/>
    <col min="15112" max="15112" width="9.33203125" customWidth="1"/>
    <col min="15113" max="15114" width="7.5546875" customWidth="1"/>
    <col min="15353" max="15353" width="3.88671875" customWidth="1"/>
    <col min="15354" max="15356" width="7.5546875" customWidth="1"/>
    <col min="15357" max="15357" width="6.6640625" customWidth="1"/>
    <col min="15358" max="15358" width="2.33203125" customWidth="1"/>
    <col min="15359" max="15359" width="8.88671875" customWidth="1"/>
    <col min="15360" max="15360" width="1.6640625" customWidth="1"/>
    <col min="15361" max="15365" width="8.88671875" customWidth="1"/>
    <col min="15366" max="15366" width="3.88671875" customWidth="1"/>
    <col min="15367" max="15367" width="8.88671875" customWidth="1"/>
    <col min="15368" max="15368" width="9.33203125" customWidth="1"/>
    <col min="15369" max="15370" width="7.5546875" customWidth="1"/>
    <col min="15609" max="15609" width="3.88671875" customWidth="1"/>
    <col min="15610" max="15612" width="7.5546875" customWidth="1"/>
    <col min="15613" max="15613" width="6.6640625" customWidth="1"/>
    <col min="15614" max="15614" width="2.33203125" customWidth="1"/>
    <col min="15615" max="15615" width="8.88671875" customWidth="1"/>
    <col min="15616" max="15616" width="1.6640625" customWidth="1"/>
    <col min="15617" max="15621" width="8.88671875" customWidth="1"/>
    <col min="15622" max="15622" width="3.88671875" customWidth="1"/>
    <col min="15623" max="15623" width="8.88671875" customWidth="1"/>
    <col min="15624" max="15624" width="9.33203125" customWidth="1"/>
    <col min="15625" max="15626" width="7.5546875" customWidth="1"/>
    <col min="15865" max="15865" width="3.88671875" customWidth="1"/>
    <col min="15866" max="15868" width="7.5546875" customWidth="1"/>
    <col min="15869" max="15869" width="6.6640625" customWidth="1"/>
    <col min="15870" max="15870" width="2.33203125" customWidth="1"/>
    <col min="15871" max="15871" width="8.88671875" customWidth="1"/>
    <col min="15872" max="15872" width="1.6640625" customWidth="1"/>
    <col min="15873" max="15877" width="8.88671875" customWidth="1"/>
    <col min="15878" max="15878" width="3.88671875" customWidth="1"/>
    <col min="15879" max="15879" width="8.88671875" customWidth="1"/>
    <col min="15880" max="15880" width="9.33203125" customWidth="1"/>
    <col min="15881" max="15882" width="7.5546875" customWidth="1"/>
    <col min="16121" max="16121" width="3.88671875" customWidth="1"/>
    <col min="16122" max="16124" width="7.5546875" customWidth="1"/>
    <col min="16125" max="16125" width="6.6640625" customWidth="1"/>
    <col min="16126" max="16126" width="2.33203125" customWidth="1"/>
    <col min="16127" max="16127" width="8.88671875" customWidth="1"/>
    <col min="16128" max="16128" width="1.6640625" customWidth="1"/>
    <col min="16129" max="16133" width="8.88671875" customWidth="1"/>
    <col min="16134" max="16134" width="3.88671875" customWidth="1"/>
    <col min="16135" max="16135" width="8.88671875" customWidth="1"/>
    <col min="16136" max="16136" width="9.33203125" customWidth="1"/>
    <col min="16137" max="16138" width="7.5546875" customWidth="1"/>
  </cols>
  <sheetData>
    <row r="1" spans="2:23">
      <c r="D1" s="22"/>
      <c r="G1" s="22"/>
    </row>
    <row r="2" spans="2:23">
      <c r="C2" s="22"/>
      <c r="D2" s="22"/>
    </row>
    <row r="3" spans="2:23">
      <c r="B3" s="22" t="s">
        <v>41</v>
      </c>
      <c r="C3" s="22"/>
      <c r="D3" s="22"/>
      <c r="E3" s="318" t="s">
        <v>42</v>
      </c>
      <c r="F3" s="329"/>
      <c r="G3" s="319"/>
      <c r="H3" s="22"/>
      <c r="I3" s="22"/>
      <c r="J3" s="22"/>
    </row>
    <row r="4" spans="2:23" ht="6" customHeight="1" thickBo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23" ht="11.1" customHeight="1" thickBot="1">
      <c r="B5" s="246" t="s">
        <v>43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6"/>
      <c r="O5" s="36"/>
      <c r="P5" s="246" t="s">
        <v>49</v>
      </c>
      <c r="Q5" s="36"/>
      <c r="R5" s="36"/>
      <c r="S5" s="36"/>
      <c r="T5" s="36"/>
    </row>
    <row r="6" spans="2:23" ht="11.25" customHeight="1">
      <c r="B6" s="28" t="s">
        <v>44</v>
      </c>
      <c r="C6" s="29"/>
      <c r="D6" s="330" t="s">
        <v>224</v>
      </c>
      <c r="E6" s="331"/>
      <c r="F6" s="331"/>
      <c r="G6" s="331"/>
      <c r="H6" s="332"/>
      <c r="I6" s="323" t="s">
        <v>176</v>
      </c>
      <c r="J6" s="324"/>
      <c r="K6" s="324"/>
      <c r="L6" s="324"/>
      <c r="M6" s="339"/>
      <c r="N6" s="40"/>
      <c r="O6" s="244"/>
      <c r="P6" s="244"/>
      <c r="Q6" s="244"/>
      <c r="R6" s="42"/>
      <c r="S6" s="42"/>
      <c r="T6" s="42" t="s">
        <v>179</v>
      </c>
    </row>
    <row r="7" spans="2:23" ht="11.25" customHeight="1">
      <c r="B7" s="30" t="s">
        <v>45</v>
      </c>
      <c r="C7" s="31"/>
      <c r="D7" s="333"/>
      <c r="E7" s="334"/>
      <c r="F7" s="334"/>
      <c r="G7" s="334"/>
      <c r="H7" s="335"/>
      <c r="I7" s="326"/>
      <c r="J7" s="327"/>
      <c r="K7" s="327"/>
      <c r="L7" s="327"/>
      <c r="M7" s="340"/>
      <c r="N7" s="46"/>
      <c r="O7" s="29"/>
      <c r="P7" s="29"/>
      <c r="Q7" s="29"/>
      <c r="R7" s="42"/>
      <c r="S7" s="42"/>
      <c r="T7" s="42"/>
    </row>
    <row r="8" spans="2:23" ht="11.25" customHeight="1" thickBot="1">
      <c r="B8" s="30" t="s">
        <v>46</v>
      </c>
      <c r="C8" s="32"/>
      <c r="D8" s="336" t="s">
        <v>47</v>
      </c>
      <c r="E8" s="337"/>
      <c r="F8" s="337"/>
      <c r="G8" s="337"/>
      <c r="H8" s="338"/>
      <c r="I8" s="341"/>
      <c r="J8" s="342"/>
      <c r="K8" s="342"/>
      <c r="L8" s="342"/>
      <c r="M8" s="343"/>
      <c r="N8" s="46" t="s">
        <v>60</v>
      </c>
      <c r="O8" s="29"/>
      <c r="P8" s="29"/>
      <c r="Q8" s="48" t="s">
        <v>61</v>
      </c>
      <c r="R8" s="42" t="s">
        <v>11</v>
      </c>
      <c r="S8" s="48" t="s">
        <v>12</v>
      </c>
      <c r="T8" s="42">
        <f>K17</f>
        <v>708.12194423566405</v>
      </c>
      <c r="U8" s="21"/>
      <c r="W8" s="22"/>
    </row>
    <row r="9" spans="2:23" ht="11.1" customHeight="1" thickBot="1">
      <c r="B9" s="246" t="s">
        <v>177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N9" s="46" t="s">
        <v>13</v>
      </c>
      <c r="O9" s="29"/>
      <c r="P9" s="29"/>
      <c r="Q9" s="48" t="s">
        <v>64</v>
      </c>
      <c r="R9" s="42" t="s">
        <v>14</v>
      </c>
      <c r="S9" s="48" t="s">
        <v>12</v>
      </c>
      <c r="T9" s="42">
        <f>K18</f>
        <v>18</v>
      </c>
      <c r="U9" s="21"/>
      <c r="W9" s="22"/>
    </row>
    <row r="10" spans="2:23" ht="11.1" customHeight="1">
      <c r="B10" s="39" t="s">
        <v>50</v>
      </c>
      <c r="C10" s="29"/>
      <c r="D10" s="29"/>
      <c r="E10" s="29"/>
      <c r="F10" s="330" t="s">
        <v>51</v>
      </c>
      <c r="G10" s="331"/>
      <c r="H10" s="332"/>
      <c r="I10" s="21" t="s">
        <v>178</v>
      </c>
      <c r="J10" s="29"/>
      <c r="K10" s="29"/>
      <c r="L10" s="48" t="s">
        <v>61</v>
      </c>
      <c r="M10" s="50">
        <f>((4*(F12/F13-F12)*(F11*0.01602)+4*F12))/(F11*0.01602)</f>
        <v>2832.4877769426562</v>
      </c>
      <c r="N10" s="46" t="s">
        <v>65</v>
      </c>
      <c r="O10" s="29"/>
      <c r="P10" s="29"/>
      <c r="Q10" s="48"/>
      <c r="R10" s="42" t="s">
        <v>66</v>
      </c>
      <c r="S10" s="48" t="s">
        <v>12</v>
      </c>
      <c r="T10" s="42">
        <f>$M13</f>
        <v>4</v>
      </c>
    </row>
    <row r="11" spans="2:23" ht="11.1" customHeight="1">
      <c r="B11" s="43" t="s">
        <v>52</v>
      </c>
      <c r="C11" s="31"/>
      <c r="D11" s="31"/>
      <c r="E11" s="68" t="s">
        <v>53</v>
      </c>
      <c r="F11" s="347">
        <f>'Flowsheet Balance'!L58</f>
        <v>168.57426133256084</v>
      </c>
      <c r="G11" s="348"/>
      <c r="H11" s="349"/>
      <c r="I11" s="21" t="s">
        <v>54</v>
      </c>
      <c r="J11" s="31"/>
      <c r="K11" s="31"/>
      <c r="L11" s="247" t="s">
        <v>55</v>
      </c>
      <c r="M11" s="45">
        <v>15</v>
      </c>
      <c r="N11" s="46" t="s">
        <v>67</v>
      </c>
      <c r="O11" s="29"/>
      <c r="P11" s="29"/>
      <c r="Q11" s="48"/>
      <c r="R11" s="42"/>
      <c r="S11" s="48" t="s">
        <v>12</v>
      </c>
      <c r="T11" s="42">
        <f>$F13</f>
        <v>8.6512183538723642E-2</v>
      </c>
    </row>
    <row r="12" spans="2:23" ht="11.1" customHeight="1">
      <c r="B12" s="30" t="s">
        <v>56</v>
      </c>
      <c r="C12" s="31"/>
      <c r="D12" s="31"/>
      <c r="E12" s="68" t="s">
        <v>57</v>
      </c>
      <c r="F12" s="350">
        <f>K51</f>
        <v>64.790801901357838</v>
      </c>
      <c r="G12" s="351"/>
      <c r="H12" s="352"/>
      <c r="I12" s="21" t="s">
        <v>58</v>
      </c>
      <c r="J12" s="31"/>
      <c r="K12" s="31"/>
      <c r="L12" s="48" t="s">
        <v>59</v>
      </c>
      <c r="M12" s="47">
        <v>0.5</v>
      </c>
      <c r="N12" s="46" t="s">
        <v>69</v>
      </c>
      <c r="O12" s="29"/>
      <c r="P12" s="29"/>
      <c r="Q12" s="48" t="s">
        <v>55</v>
      </c>
      <c r="R12" s="42" t="s">
        <v>32</v>
      </c>
      <c r="S12" s="48" t="s">
        <v>12</v>
      </c>
      <c r="T12" s="42">
        <f>K34</f>
        <v>7.73456159184824</v>
      </c>
    </row>
    <row r="13" spans="2:23" ht="11.1" customHeight="1" thickBot="1">
      <c r="B13" s="30" t="s">
        <v>62</v>
      </c>
      <c r="C13" s="31"/>
      <c r="D13" s="31"/>
      <c r="E13" s="68" t="s">
        <v>63</v>
      </c>
      <c r="F13" s="353">
        <f>'Flowsheet Balance'!L60</f>
        <v>8.6512183538723642E-2</v>
      </c>
      <c r="G13" s="354"/>
      <c r="H13" s="355"/>
      <c r="I13" s="31" t="s">
        <v>65</v>
      </c>
      <c r="J13" s="31"/>
      <c r="K13" s="31"/>
      <c r="L13" s="226"/>
      <c r="M13" s="227">
        <v>4</v>
      </c>
      <c r="N13" s="46" t="s">
        <v>70</v>
      </c>
      <c r="O13" s="29"/>
      <c r="P13" s="29"/>
      <c r="Q13" s="29"/>
      <c r="R13" s="42"/>
      <c r="S13" s="48" t="s">
        <v>12</v>
      </c>
      <c r="T13" s="42">
        <f>$F11*0.01601668</f>
        <v>2.7</v>
      </c>
    </row>
    <row r="14" spans="2:23" ht="11.1" customHeight="1" thickBot="1">
      <c r="B14" s="344" t="s">
        <v>180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6"/>
      <c r="N14" s="46" t="s">
        <v>71</v>
      </c>
      <c r="O14" s="29"/>
      <c r="P14" s="29"/>
      <c r="Q14" s="29"/>
      <c r="R14" s="42"/>
      <c r="S14" s="48" t="s">
        <v>12</v>
      </c>
      <c r="T14" s="42">
        <v>1</v>
      </c>
    </row>
    <row r="15" spans="2:23" ht="11.1" customHeight="1">
      <c r="B15" s="40"/>
      <c r="C15" s="244"/>
      <c r="D15" s="244"/>
      <c r="E15" s="244"/>
      <c r="F15" s="244"/>
      <c r="G15" s="42"/>
      <c r="H15" s="42"/>
      <c r="I15" s="42"/>
      <c r="J15" s="42"/>
      <c r="K15" s="228" t="s">
        <v>179</v>
      </c>
      <c r="L15" s="42"/>
      <c r="M15" s="53"/>
      <c r="N15" s="46" t="s">
        <v>73</v>
      </c>
      <c r="O15" s="29"/>
      <c r="P15" s="29"/>
      <c r="Q15" s="29"/>
      <c r="R15" s="42"/>
      <c r="S15" s="48" t="s">
        <v>12</v>
      </c>
      <c r="T15" s="56">
        <v>425</v>
      </c>
    </row>
    <row r="16" spans="2:23" ht="11.1" customHeight="1">
      <c r="B16" s="46"/>
      <c r="C16" s="29"/>
      <c r="D16" s="29"/>
      <c r="E16" s="29"/>
      <c r="F16" s="54"/>
      <c r="G16" s="42"/>
      <c r="H16" s="42"/>
      <c r="I16" s="42"/>
      <c r="J16" s="42"/>
      <c r="K16" s="42"/>
      <c r="L16" s="42"/>
      <c r="M16" s="55"/>
      <c r="N16" s="46" t="s">
        <v>76</v>
      </c>
      <c r="O16" s="29"/>
      <c r="P16" s="29"/>
      <c r="Q16" s="29"/>
      <c r="R16" s="42"/>
      <c r="S16" s="48" t="s">
        <v>12</v>
      </c>
      <c r="T16" s="42">
        <f>IF(T11&lt;20,EXP(0.0321*T11),IF(T11&gt;45,0.00004*EXP(0.284*T11),IF(T11&gt;35,0.0433*EXP(0.1292*T11),0.5664*EXP(0.06*T11))))</f>
        <v>1.0027809006420885</v>
      </c>
    </row>
    <row r="17" spans="2:20" ht="11.1" customHeight="1">
      <c r="B17" s="46" t="s">
        <v>68</v>
      </c>
      <c r="C17" s="29"/>
      <c r="D17" s="29"/>
      <c r="E17" s="48" t="s">
        <v>61</v>
      </c>
      <c r="F17" s="54"/>
      <c r="G17" s="42" t="s">
        <v>11</v>
      </c>
      <c r="H17" s="48" t="s">
        <v>12</v>
      </c>
      <c r="I17" s="42"/>
      <c r="J17" s="42"/>
      <c r="K17" s="42">
        <f>$M10/$M13</f>
        <v>708.12194423566405</v>
      </c>
      <c r="L17" s="42"/>
      <c r="M17" s="42"/>
      <c r="N17" s="46" t="s">
        <v>78</v>
      </c>
      <c r="O17" s="29"/>
      <c r="P17" s="29"/>
      <c r="Q17" s="29"/>
      <c r="R17" s="42"/>
      <c r="S17" s="48" t="s">
        <v>12</v>
      </c>
      <c r="T17" s="42">
        <f xml:space="preserve"> 2.0193*T12^-0.3006</f>
        <v>1.0917848741736882</v>
      </c>
    </row>
    <row r="18" spans="2:20" ht="11.1" customHeight="1">
      <c r="B18" s="46" t="s">
        <v>13</v>
      </c>
      <c r="C18" s="29"/>
      <c r="D18" s="29"/>
      <c r="E18" s="48" t="s">
        <v>64</v>
      </c>
      <c r="F18" s="54"/>
      <c r="G18" s="42" t="s">
        <v>14</v>
      </c>
      <c r="H18" s="48" t="s">
        <v>12</v>
      </c>
      <c r="I18" s="42"/>
      <c r="J18" s="42"/>
      <c r="K18" s="228">
        <v>18</v>
      </c>
      <c r="L18" s="42"/>
      <c r="M18" s="42"/>
      <c r="N18" s="46" t="s">
        <v>80</v>
      </c>
      <c r="O18" s="29"/>
      <c r="P18" s="29"/>
      <c r="Q18" s="29"/>
      <c r="R18" s="42"/>
      <c r="S18" s="48" t="s">
        <v>12</v>
      </c>
      <c r="T18" s="42">
        <f>(1.65/(T13-T14))^0.5</f>
        <v>0.98518436614377791</v>
      </c>
    </row>
    <row r="19" spans="2:20" ht="11.1" customHeight="1" thickBot="1">
      <c r="B19" s="46" t="s">
        <v>72</v>
      </c>
      <c r="C19" s="29"/>
      <c r="D19" s="29"/>
      <c r="E19" s="48" t="s">
        <v>181</v>
      </c>
      <c r="F19" s="54"/>
      <c r="G19" s="42" t="s">
        <v>15</v>
      </c>
      <c r="H19" s="48" t="s">
        <v>12</v>
      </c>
      <c r="I19" s="42"/>
      <c r="J19" s="42"/>
      <c r="K19" s="228">
        <v>20</v>
      </c>
      <c r="L19" s="42"/>
      <c r="M19" s="42"/>
      <c r="N19" s="46" t="s">
        <v>34</v>
      </c>
      <c r="O19" s="29"/>
      <c r="P19" s="29"/>
      <c r="Q19" s="29"/>
      <c r="R19" s="42"/>
      <c r="S19" s="48" t="s">
        <v>12</v>
      </c>
      <c r="T19" s="42">
        <f>T15*T16*T17*T18</f>
        <v>458.40523462945686</v>
      </c>
    </row>
    <row r="20" spans="2:20" ht="11.1" customHeight="1" thickBot="1">
      <c r="B20" s="46" t="s">
        <v>74</v>
      </c>
      <c r="C20" s="29"/>
      <c r="D20" s="29"/>
      <c r="E20" s="48" t="s">
        <v>75</v>
      </c>
      <c r="F20" s="54"/>
      <c r="G20" s="42" t="s">
        <v>16</v>
      </c>
      <c r="H20" s="48" t="s">
        <v>12</v>
      </c>
      <c r="I20" s="42"/>
      <c r="J20" s="42"/>
      <c r="K20" s="42">
        <f>2*(K19/PI())^0.5</f>
        <v>5.0462650440403207</v>
      </c>
      <c r="L20" s="42"/>
      <c r="M20" s="42"/>
      <c r="N20" s="58" t="str">
        <f t="shared" ref="N20:N33" si="0">B37</f>
        <v>Size</v>
      </c>
      <c r="O20" s="58" t="str">
        <f t="shared" ref="O20:O33" si="1">C37</f>
        <v>%</v>
      </c>
      <c r="P20" s="58" t="str">
        <f t="shared" ref="P20:P33" si="2">D37</f>
        <v>% Cum</v>
      </c>
      <c r="Q20" s="58" t="str">
        <f t="shared" ref="Q20:Q33" si="3">E37</f>
        <v>% Cum</v>
      </c>
      <c r="R20" s="59" t="s">
        <v>167</v>
      </c>
      <c r="S20" s="229" t="s">
        <v>82</v>
      </c>
      <c r="T20" s="229" t="s">
        <v>199</v>
      </c>
    </row>
    <row r="21" spans="2:20" ht="11.1" customHeight="1" thickBot="1">
      <c r="B21" s="46" t="s">
        <v>77</v>
      </c>
      <c r="C21" s="29"/>
      <c r="D21" s="29"/>
      <c r="E21" s="48" t="s">
        <v>75</v>
      </c>
      <c r="F21" s="54"/>
      <c r="G21" s="42" t="s">
        <v>17</v>
      </c>
      <c r="H21" s="48" t="s">
        <v>12</v>
      </c>
      <c r="I21" s="42"/>
      <c r="J21" s="42"/>
      <c r="K21" s="42">
        <f>K22*1.9</f>
        <v>6.164414002968976</v>
      </c>
      <c r="L21" s="42"/>
      <c r="M21" s="42"/>
      <c r="N21" s="58" t="str">
        <f t="shared" si="0"/>
        <v>microns</v>
      </c>
      <c r="O21" s="61" t="str">
        <f t="shared" si="1"/>
        <v xml:space="preserve"> Retained</v>
      </c>
      <c r="P21" s="61" t="str">
        <f t="shared" si="2"/>
        <v xml:space="preserve"> Pass</v>
      </c>
      <c r="Q21" s="62" t="str">
        <f t="shared" si="3"/>
        <v xml:space="preserve"> Retained</v>
      </c>
      <c r="R21" s="19" t="s">
        <v>36</v>
      </c>
      <c r="S21" s="230" t="s">
        <v>84</v>
      </c>
      <c r="T21" s="230" t="s">
        <v>200</v>
      </c>
    </row>
    <row r="22" spans="2:20" ht="11.1" customHeight="1">
      <c r="B22" s="46" t="s">
        <v>79</v>
      </c>
      <c r="C22" s="29"/>
      <c r="D22" s="29"/>
      <c r="E22" s="48" t="s">
        <v>75</v>
      </c>
      <c r="F22" s="54"/>
      <c r="G22" s="42" t="s">
        <v>18</v>
      </c>
      <c r="H22" s="48" t="s">
        <v>12</v>
      </c>
      <c r="I22" s="42"/>
      <c r="J22" s="42"/>
      <c r="K22" s="42">
        <f>(K19/1.9)^0.5</f>
        <v>3.2444284226152509</v>
      </c>
      <c r="L22" s="42"/>
      <c r="M22" s="42"/>
      <c r="N22" s="65">
        <f t="shared" si="0"/>
        <v>4760</v>
      </c>
      <c r="O22" s="66">
        <f t="shared" si="1"/>
        <v>0</v>
      </c>
      <c r="P22" s="64">
        <f t="shared" si="2"/>
        <v>1</v>
      </c>
      <c r="Q22" s="64">
        <f t="shared" si="3"/>
        <v>0</v>
      </c>
      <c r="R22" s="248">
        <f t="shared" ref="R22:R33" si="4">(1-(1/(1+0.12*((K$17*3.785)^0.44)*((K$24/K$28)^4.4))))*(1-0.5*EXP(-($N22/T$19)))+(1/(1+0.12*((K$17*3.785)^0.44)*((K$24/K$28)^4.4)))</f>
        <v>0.99998456737768393</v>
      </c>
      <c r="S22" s="42">
        <f t="shared" ref="S22:S33" si="5">100*R22*$C39</f>
        <v>0</v>
      </c>
      <c r="T22" s="42">
        <f t="shared" ref="T22:T33" si="6">S22*T$38/100</f>
        <v>0</v>
      </c>
    </row>
    <row r="23" spans="2:20" ht="11.1" customHeight="1">
      <c r="B23" s="46" t="s">
        <v>19</v>
      </c>
      <c r="C23" s="29"/>
      <c r="D23" s="29"/>
      <c r="E23" s="48" t="s">
        <v>75</v>
      </c>
      <c r="F23" s="54"/>
      <c r="G23" s="42" t="s">
        <v>20</v>
      </c>
      <c r="H23" s="48" t="s">
        <v>12</v>
      </c>
      <c r="I23" s="42"/>
      <c r="J23" s="42"/>
      <c r="K23" s="42">
        <f>0.25*K22</f>
        <v>0.81110710565381272</v>
      </c>
      <c r="L23" s="42"/>
      <c r="M23" s="42"/>
      <c r="N23" s="65">
        <f t="shared" si="0"/>
        <v>2380</v>
      </c>
      <c r="O23" s="66">
        <f t="shared" si="1"/>
        <v>0</v>
      </c>
      <c r="P23" s="64">
        <f t="shared" si="2"/>
        <v>1</v>
      </c>
      <c r="Q23" s="64">
        <f t="shared" si="3"/>
        <v>0</v>
      </c>
      <c r="R23" s="248">
        <f t="shared" si="4"/>
        <v>0.99722502674123259</v>
      </c>
      <c r="S23" s="42">
        <f t="shared" si="5"/>
        <v>0</v>
      </c>
      <c r="T23" s="42">
        <f t="shared" si="6"/>
        <v>0</v>
      </c>
    </row>
    <row r="24" spans="2:20" ht="11.1" customHeight="1">
      <c r="B24" s="46" t="s">
        <v>81</v>
      </c>
      <c r="C24" s="29"/>
      <c r="D24" s="29"/>
      <c r="E24" s="48" t="s">
        <v>75</v>
      </c>
      <c r="F24" s="54"/>
      <c r="G24" s="42" t="s">
        <v>21</v>
      </c>
      <c r="H24" s="48" t="s">
        <v>12</v>
      </c>
      <c r="I24" s="42"/>
      <c r="J24" s="42"/>
      <c r="K24" s="228">
        <v>6</v>
      </c>
      <c r="L24" s="42"/>
      <c r="M24" s="42"/>
      <c r="N24" s="65">
        <f t="shared" si="0"/>
        <v>1190</v>
      </c>
      <c r="O24" s="66">
        <f t="shared" si="1"/>
        <v>0.23714605518809981</v>
      </c>
      <c r="P24" s="64">
        <f t="shared" si="2"/>
        <v>0.76285394481190016</v>
      </c>
      <c r="Q24" s="64">
        <f t="shared" si="3"/>
        <v>0.23714605518809981</v>
      </c>
      <c r="R24" s="248">
        <f t="shared" si="4"/>
        <v>0.96278925718512121</v>
      </c>
      <c r="S24" s="42">
        <f t="shared" si="5"/>
        <v>22.832167431893239</v>
      </c>
      <c r="T24" s="42">
        <f t="shared" si="6"/>
        <v>3.698286092646073</v>
      </c>
    </row>
    <row r="25" spans="2:20" ht="11.1" customHeight="1">
      <c r="B25" s="46" t="s">
        <v>83</v>
      </c>
      <c r="C25" s="29"/>
      <c r="D25" s="29"/>
      <c r="E25" s="48" t="s">
        <v>75</v>
      </c>
      <c r="F25" s="54"/>
      <c r="G25" s="42" t="s">
        <v>22</v>
      </c>
      <c r="H25" s="48" t="s">
        <v>12</v>
      </c>
      <c r="I25" s="42"/>
      <c r="J25" s="42"/>
      <c r="K25" s="42">
        <f>0.4*K22</f>
        <v>1.2977713690461004</v>
      </c>
      <c r="L25" s="42"/>
      <c r="M25" s="42"/>
      <c r="N25" s="65">
        <f t="shared" si="0"/>
        <v>595</v>
      </c>
      <c r="O25" s="66">
        <f t="shared" si="1"/>
        <v>0.21033452000249869</v>
      </c>
      <c r="P25" s="64">
        <f t="shared" si="2"/>
        <v>0.55251942480940142</v>
      </c>
      <c r="Q25" s="64">
        <f t="shared" si="3"/>
        <v>0.44748057519059847</v>
      </c>
      <c r="R25" s="248">
        <f t="shared" si="4"/>
        <v>0.86373851792995637</v>
      </c>
      <c r="S25" s="42">
        <f t="shared" si="5"/>
        <v>18.167402657646697</v>
      </c>
      <c r="T25" s="42">
        <f t="shared" si="6"/>
        <v>2.9427014666344729</v>
      </c>
    </row>
    <row r="26" spans="2:20" ht="11.1" customHeight="1">
      <c r="B26" s="46" t="s">
        <v>85</v>
      </c>
      <c r="C26" s="29"/>
      <c r="D26" s="29"/>
      <c r="E26" s="48" t="s">
        <v>75</v>
      </c>
      <c r="F26" s="54"/>
      <c r="G26" s="42" t="s">
        <v>23</v>
      </c>
      <c r="H26" s="48" t="s">
        <v>12</v>
      </c>
      <c r="I26" s="42"/>
      <c r="J26" s="42"/>
      <c r="K26" s="42">
        <f>0.5*K21</f>
        <v>3.082207001484488</v>
      </c>
      <c r="L26" s="42"/>
      <c r="M26" s="42"/>
      <c r="N26" s="65">
        <f t="shared" si="0"/>
        <v>297</v>
      </c>
      <c r="O26" s="66">
        <f t="shared" si="1"/>
        <v>0.23282257445795185</v>
      </c>
      <c r="P26" s="64">
        <f t="shared" si="2"/>
        <v>0.31969685035144957</v>
      </c>
      <c r="Q26" s="64">
        <f t="shared" si="3"/>
        <v>0.68030314964855032</v>
      </c>
      <c r="R26" s="248">
        <f t="shared" si="4"/>
        <v>0.73896472835015115</v>
      </c>
      <c r="S26" s="42">
        <f t="shared" si="5"/>
        <v>17.204767048810325</v>
      </c>
      <c r="T26" s="42">
        <f t="shared" si="6"/>
        <v>2.786776634046197</v>
      </c>
    </row>
    <row r="27" spans="2:20" ht="11.1" customHeight="1">
      <c r="B27" s="46" t="s">
        <v>86</v>
      </c>
      <c r="C27" s="29"/>
      <c r="D27" s="29"/>
      <c r="E27" s="48" t="s">
        <v>75</v>
      </c>
      <c r="F27" s="54"/>
      <c r="G27" s="42" t="s">
        <v>24</v>
      </c>
      <c r="H27" s="48" t="s">
        <v>12</v>
      </c>
      <c r="I27" s="42"/>
      <c r="J27" s="42"/>
      <c r="K27" s="42">
        <f>K25+K21+K26</f>
        <v>10.544392373499564</v>
      </c>
      <c r="L27" s="42"/>
      <c r="M27" s="42"/>
      <c r="N27" s="65">
        <f t="shared" si="0"/>
        <v>149</v>
      </c>
      <c r="O27" s="66">
        <f t="shared" si="1"/>
        <v>0.20617105807866312</v>
      </c>
      <c r="P27" s="64">
        <f t="shared" si="2"/>
        <v>0.11352579227278645</v>
      </c>
      <c r="Q27" s="64">
        <f t="shared" si="3"/>
        <v>0.88647420772721341</v>
      </c>
      <c r="R27" s="248">
        <f t="shared" si="4"/>
        <v>0.63949206018859928</v>
      </c>
      <c r="S27" s="42">
        <f t="shared" si="5"/>
        <v>13.184475468198762</v>
      </c>
      <c r="T27" s="42">
        <f t="shared" si="6"/>
        <v>2.1355818455834457</v>
      </c>
    </row>
    <row r="28" spans="2:20" ht="11.1" customHeight="1">
      <c r="B28" s="46" t="s">
        <v>87</v>
      </c>
      <c r="C28" s="29"/>
      <c r="D28" s="29"/>
      <c r="E28" s="48" t="s">
        <v>75</v>
      </c>
      <c r="F28" s="54"/>
      <c r="G28" s="42" t="s">
        <v>15</v>
      </c>
      <c r="H28" s="48" t="s">
        <v>12</v>
      </c>
      <c r="I28" s="42"/>
      <c r="J28" s="42"/>
      <c r="K28" s="228">
        <v>2</v>
      </c>
      <c r="L28" s="42"/>
      <c r="M28" s="42"/>
      <c r="N28" s="65">
        <f t="shared" si="0"/>
        <v>74</v>
      </c>
      <c r="O28" s="66">
        <f t="shared" si="1"/>
        <v>0.10222462362905854</v>
      </c>
      <c r="P28" s="64">
        <f t="shared" si="2"/>
        <v>1.1301168643727905E-2</v>
      </c>
      <c r="Q28" s="64">
        <f t="shared" si="3"/>
        <v>0.9886988313562719</v>
      </c>
      <c r="R28" s="248">
        <f t="shared" si="4"/>
        <v>0.57540971101197502</v>
      </c>
      <c r="S28" s="42">
        <f t="shared" si="5"/>
        <v>5.8821041140704482</v>
      </c>
      <c r="T28" s="42">
        <f t="shared" si="6"/>
        <v>0.95276560604475091</v>
      </c>
    </row>
    <row r="29" spans="2:20" ht="11.1" customHeight="1">
      <c r="B29" s="46" t="s">
        <v>88</v>
      </c>
      <c r="C29" s="29"/>
      <c r="D29" s="29"/>
      <c r="E29" s="48" t="s">
        <v>75</v>
      </c>
      <c r="F29" s="54"/>
      <c r="G29" s="42" t="s">
        <v>25</v>
      </c>
      <c r="H29" s="48" t="s">
        <v>12</v>
      </c>
      <c r="I29" s="42"/>
      <c r="J29" s="42"/>
      <c r="K29" s="42">
        <f>((K18/2)-(K28/2))*(1/TAN(K35*PI()/180))</f>
        <v>21.97981935563698</v>
      </c>
      <c r="L29" s="42"/>
      <c r="M29" s="42"/>
      <c r="N29" s="65">
        <f t="shared" si="0"/>
        <v>0</v>
      </c>
      <c r="O29" s="66">
        <f t="shared" si="1"/>
        <v>1.1301168643728005E-2</v>
      </c>
      <c r="P29" s="64">
        <f t="shared" si="2"/>
        <v>-1.0061396160665481E-16</v>
      </c>
      <c r="Q29" s="64">
        <f t="shared" si="3"/>
        <v>0.99999999999999989</v>
      </c>
      <c r="R29" s="248">
        <f t="shared" si="4"/>
        <v>0.50102604540050477</v>
      </c>
      <c r="S29" s="42">
        <f t="shared" si="5"/>
        <v>0.56621798339712281</v>
      </c>
      <c r="T29" s="42">
        <f t="shared" si="6"/>
        <v>9.1714292988173268E-2</v>
      </c>
    </row>
    <row r="30" spans="2:20" ht="11.1" customHeight="1">
      <c r="B30" s="46" t="s">
        <v>89</v>
      </c>
      <c r="C30" s="29"/>
      <c r="D30" s="29"/>
      <c r="E30" s="48" t="s">
        <v>75</v>
      </c>
      <c r="F30" s="54"/>
      <c r="G30" s="42" t="s">
        <v>26</v>
      </c>
      <c r="H30" s="48" t="s">
        <v>12</v>
      </c>
      <c r="I30" s="42"/>
      <c r="J30" s="42"/>
      <c r="K30" s="42">
        <f>K27+K29</f>
        <v>32.524211729136546</v>
      </c>
      <c r="L30" s="42"/>
      <c r="M30" s="42"/>
      <c r="N30" s="67">
        <f t="shared" si="0"/>
        <v>0</v>
      </c>
      <c r="O30" s="66">
        <f t="shared" si="1"/>
        <v>0</v>
      </c>
      <c r="P30" s="64">
        <f t="shared" si="2"/>
        <v>-1.0061396160665481E-16</v>
      </c>
      <c r="Q30" s="64">
        <f t="shared" si="3"/>
        <v>0.99999999999999989</v>
      </c>
      <c r="R30" s="248">
        <f t="shared" si="4"/>
        <v>0.50102604540050477</v>
      </c>
      <c r="S30" s="42">
        <f t="shared" si="5"/>
        <v>0</v>
      </c>
      <c r="T30" s="42">
        <f t="shared" si="6"/>
        <v>0</v>
      </c>
    </row>
    <row r="31" spans="2:20" ht="11.1" customHeight="1">
      <c r="B31" s="46" t="s">
        <v>90</v>
      </c>
      <c r="C31" s="29"/>
      <c r="D31" s="29"/>
      <c r="E31" s="48" t="s">
        <v>91</v>
      </c>
      <c r="F31" s="54"/>
      <c r="G31" s="42" t="s">
        <v>27</v>
      </c>
      <c r="H31" s="48" t="s">
        <v>12</v>
      </c>
      <c r="I31" s="42"/>
      <c r="J31" s="42"/>
      <c r="K31" s="42">
        <f>K17*0.002228/(K19/144)</f>
        <v>11.359408980650828</v>
      </c>
      <c r="L31" s="42"/>
      <c r="M31" s="42"/>
      <c r="N31" s="67">
        <f t="shared" si="0"/>
        <v>0</v>
      </c>
      <c r="O31" s="66">
        <f t="shared" si="1"/>
        <v>0</v>
      </c>
      <c r="P31" s="64">
        <f t="shared" si="2"/>
        <v>-1.0061396160665481E-16</v>
      </c>
      <c r="Q31" s="64">
        <f t="shared" si="3"/>
        <v>0.99999999999999989</v>
      </c>
      <c r="R31" s="248">
        <f t="shared" si="4"/>
        <v>0.50102604540050477</v>
      </c>
      <c r="S31" s="42">
        <f t="shared" si="5"/>
        <v>0</v>
      </c>
      <c r="T31" s="42">
        <f t="shared" si="6"/>
        <v>0</v>
      </c>
    </row>
    <row r="32" spans="2:20" ht="11.1" customHeight="1">
      <c r="B32" s="46" t="s">
        <v>28</v>
      </c>
      <c r="C32" s="29"/>
      <c r="D32" s="29"/>
      <c r="E32" s="48"/>
      <c r="F32" s="54"/>
      <c r="G32" s="42" t="s">
        <v>29</v>
      </c>
      <c r="H32" s="48" t="s">
        <v>12</v>
      </c>
      <c r="I32" s="42"/>
      <c r="J32" s="42"/>
      <c r="K32" s="42">
        <f>(0.003*($F11)*K31^2)/12</f>
        <v>5.4380443614432723</v>
      </c>
      <c r="L32" s="42"/>
      <c r="M32" s="42"/>
      <c r="N32" s="65">
        <f t="shared" si="0"/>
        <v>0</v>
      </c>
      <c r="O32" s="66">
        <f t="shared" si="1"/>
        <v>0</v>
      </c>
      <c r="P32" s="64">
        <f t="shared" si="2"/>
        <v>-1.0061396160665481E-16</v>
      </c>
      <c r="Q32" s="64">
        <f t="shared" si="3"/>
        <v>0.99999999999999989</v>
      </c>
      <c r="R32" s="248">
        <f t="shared" si="4"/>
        <v>0.50102604540050477</v>
      </c>
      <c r="S32" s="42">
        <f t="shared" si="5"/>
        <v>0</v>
      </c>
      <c r="T32" s="42">
        <f t="shared" si="6"/>
        <v>0</v>
      </c>
    </row>
    <row r="33" spans="2:21" ht="11.1" customHeight="1" thickBot="1">
      <c r="B33" s="46" t="s">
        <v>30</v>
      </c>
      <c r="C33" s="29"/>
      <c r="D33" s="29"/>
      <c r="E33" s="48"/>
      <c r="F33" s="54"/>
      <c r="G33" s="42" t="s">
        <v>31</v>
      </c>
      <c r="H33" s="48" t="s">
        <v>12</v>
      </c>
      <c r="I33" s="42"/>
      <c r="J33" s="42"/>
      <c r="K33" s="42">
        <f>11.3*((K19)/((K25+K21))^2)+3.33</f>
        <v>7.3886011342155014</v>
      </c>
      <c r="L33" s="42"/>
      <c r="M33" s="42"/>
      <c r="N33" s="234">
        <f t="shared" si="0"/>
        <v>0</v>
      </c>
      <c r="O33" s="235">
        <f t="shared" si="1"/>
        <v>0</v>
      </c>
      <c r="P33" s="236">
        <f t="shared" si="2"/>
        <v>-1.0061396160665481E-16</v>
      </c>
      <c r="Q33" s="236">
        <f t="shared" si="3"/>
        <v>0.99999999999999989</v>
      </c>
      <c r="R33" s="248">
        <f t="shared" si="4"/>
        <v>0.50102604540050477</v>
      </c>
      <c r="S33" s="42">
        <f t="shared" si="5"/>
        <v>0</v>
      </c>
      <c r="T33" s="42">
        <f t="shared" si="6"/>
        <v>0</v>
      </c>
    </row>
    <row r="34" spans="2:21" ht="11.1" customHeight="1" thickBot="1">
      <c r="B34" s="46" t="s">
        <v>92</v>
      </c>
      <c r="C34" s="29"/>
      <c r="D34" s="29"/>
      <c r="E34" s="48" t="s">
        <v>55</v>
      </c>
      <c r="F34" s="54"/>
      <c r="G34" s="42" t="s">
        <v>32</v>
      </c>
      <c r="H34" s="48" t="s">
        <v>12</v>
      </c>
      <c r="I34" s="42"/>
      <c r="J34" s="42"/>
      <c r="K34" s="42">
        <f>2.31*K32*K33/12</f>
        <v>7.73456159184824</v>
      </c>
      <c r="L34" s="42"/>
      <c r="M34" s="42"/>
      <c r="N34" s="77" t="s">
        <v>38</v>
      </c>
      <c r="O34" s="78"/>
      <c r="P34" s="78"/>
      <c r="Q34" s="78"/>
      <c r="R34" s="79" t="s">
        <v>36</v>
      </c>
      <c r="S34" s="237">
        <f>SUM(S22:S33)</f>
        <v>77.837134704016592</v>
      </c>
      <c r="T34" s="42">
        <f>SUM(T22:T33)</f>
        <v>12.607825937943113</v>
      </c>
    </row>
    <row r="35" spans="2:21" ht="11.1" customHeight="1" thickBot="1">
      <c r="B35" s="30" t="s">
        <v>93</v>
      </c>
      <c r="C35" s="31"/>
      <c r="D35" s="31"/>
      <c r="E35" s="68" t="s">
        <v>94</v>
      </c>
      <c r="F35" s="69"/>
      <c r="G35" s="70" t="s">
        <v>33</v>
      </c>
      <c r="H35" s="71" t="s">
        <v>12</v>
      </c>
      <c r="I35" s="56"/>
      <c r="J35" s="56"/>
      <c r="K35" s="56">
        <v>20</v>
      </c>
      <c r="L35" s="56"/>
      <c r="M35" s="232"/>
      <c r="N35" s="46" t="s">
        <v>98</v>
      </c>
      <c r="O35" s="29" t="s">
        <v>99</v>
      </c>
      <c r="P35" s="29"/>
      <c r="Q35" s="29"/>
      <c r="R35" s="80" t="s">
        <v>61</v>
      </c>
      <c r="S35" s="48"/>
      <c r="T35" s="42">
        <f>T8</f>
        <v>708.12194423566405</v>
      </c>
    </row>
    <row r="36" spans="2:21" ht="11.1" customHeight="1" thickBot="1">
      <c r="B36" s="344" t="s">
        <v>95</v>
      </c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6"/>
      <c r="N36" s="46"/>
      <c r="O36" s="29" t="s">
        <v>100</v>
      </c>
      <c r="P36" s="29"/>
      <c r="Q36" s="29"/>
      <c r="R36" s="60"/>
      <c r="S36" s="48"/>
      <c r="T36" s="42">
        <f>($F11*0.01602)/(($F11*0.01602)+T39-($F11*0.01602)*T39)</f>
        <v>1.0576160391772065</v>
      </c>
    </row>
    <row r="37" spans="2:21" ht="11.1" customHeight="1" thickBot="1">
      <c r="B37" s="72" t="s">
        <v>35</v>
      </c>
      <c r="C37" s="73" t="s">
        <v>36</v>
      </c>
      <c r="D37" s="73" t="s">
        <v>96</v>
      </c>
      <c r="E37" s="73" t="s">
        <v>96</v>
      </c>
      <c r="F37" s="223"/>
      <c r="G37" s="223"/>
      <c r="H37" s="223"/>
      <c r="I37" s="249"/>
      <c r="J37" s="250"/>
      <c r="K37" s="58" t="s">
        <v>40</v>
      </c>
      <c r="L37" s="58" t="s">
        <v>84</v>
      </c>
      <c r="M37" s="58" t="s">
        <v>175</v>
      </c>
      <c r="N37" s="46"/>
      <c r="O37" s="29" t="s">
        <v>101</v>
      </c>
      <c r="P37" s="29"/>
      <c r="Q37" s="29"/>
      <c r="R37" s="42" t="s">
        <v>61</v>
      </c>
      <c r="S37" s="48"/>
      <c r="T37" s="42">
        <f>T35-(T38*4/($F11*0.01602))</f>
        <v>684.13032401562793</v>
      </c>
    </row>
    <row r="38" spans="2:21" ht="11.1" customHeight="1">
      <c r="B38" s="72" t="s">
        <v>39</v>
      </c>
      <c r="C38" s="75" t="s">
        <v>37</v>
      </c>
      <c r="D38" s="75" t="s">
        <v>97</v>
      </c>
      <c r="E38" s="64" t="s">
        <v>37</v>
      </c>
      <c r="F38" s="18"/>
      <c r="G38" s="18"/>
      <c r="H38" s="18"/>
      <c r="I38" s="225"/>
      <c r="J38" s="251"/>
      <c r="K38" s="63" t="s">
        <v>174</v>
      </c>
      <c r="L38" s="63" t="s">
        <v>174</v>
      </c>
      <c r="M38" s="63" t="s">
        <v>174</v>
      </c>
      <c r="N38" s="46"/>
      <c r="O38" s="29" t="s">
        <v>102</v>
      </c>
      <c r="P38" s="29"/>
      <c r="Q38" s="29"/>
      <c r="R38" s="42" t="s">
        <v>103</v>
      </c>
      <c r="S38" s="48"/>
      <c r="T38" s="49">
        <f>$F12/T10</f>
        <v>16.19770047533946</v>
      </c>
    </row>
    <row r="39" spans="2:21" ht="11.1" customHeight="1">
      <c r="B39" s="23">
        <f>'Flowsheet Balance'!B68</f>
        <v>4760</v>
      </c>
      <c r="C39" s="64">
        <f>K39/K$51</f>
        <v>0</v>
      </c>
      <c r="D39" s="64">
        <f>1-C39</f>
        <v>1</v>
      </c>
      <c r="E39" s="64">
        <f>C39</f>
        <v>0</v>
      </c>
      <c r="F39" s="18"/>
      <c r="G39" s="18"/>
      <c r="H39" s="18"/>
      <c r="I39" s="252"/>
      <c r="J39" s="258"/>
      <c r="K39" s="23">
        <f>'Flowsheet Balance'!L68</f>
        <v>0</v>
      </c>
      <c r="L39" s="63">
        <f t="shared" ref="L39:L50" si="7">S22*K$51/100</f>
        <v>0</v>
      </c>
      <c r="M39" s="63">
        <f>K39-L39</f>
        <v>0</v>
      </c>
      <c r="N39" s="46"/>
      <c r="O39" s="29" t="s">
        <v>104</v>
      </c>
      <c r="P39" s="29"/>
      <c r="Q39" s="29"/>
      <c r="R39" s="60"/>
      <c r="S39" s="48"/>
      <c r="T39" s="81">
        <f>F13</f>
        <v>8.6512183538723642E-2</v>
      </c>
    </row>
    <row r="40" spans="2:21" ht="11.1" customHeight="1" thickBot="1">
      <c r="B40" s="23">
        <f>'Flowsheet Balance'!B69</f>
        <v>2380</v>
      </c>
      <c r="C40" s="64">
        <f t="shared" ref="C40:C50" si="8">K40/K$51</f>
        <v>0</v>
      </c>
      <c r="D40" s="64">
        <f>D39-C40</f>
        <v>1</v>
      </c>
      <c r="E40" s="64">
        <f>E39+C40</f>
        <v>0</v>
      </c>
      <c r="F40" s="18"/>
      <c r="G40" s="18"/>
      <c r="H40" s="18"/>
      <c r="I40" s="252"/>
      <c r="J40" s="253"/>
      <c r="K40" s="23">
        <f>'Flowsheet Balance'!L69</f>
        <v>0</v>
      </c>
      <c r="L40" s="63">
        <f t="shared" si="7"/>
        <v>0</v>
      </c>
      <c r="M40" s="63">
        <f t="shared" ref="M40:M50" si="9">K40-L40</f>
        <v>0</v>
      </c>
      <c r="N40" s="57"/>
      <c r="O40" s="18" t="s">
        <v>105</v>
      </c>
      <c r="P40" s="18"/>
      <c r="Q40" s="18"/>
      <c r="R40" s="82"/>
      <c r="S40" s="20"/>
      <c r="T40" s="238">
        <f>(T36-1)/($F11*0.01602-1)</f>
        <v>3.3880633717589669E-2</v>
      </c>
    </row>
    <row r="41" spans="2:21" ht="11.1" customHeight="1">
      <c r="B41" s="23">
        <f>'Flowsheet Balance'!B70</f>
        <v>1190</v>
      </c>
      <c r="C41" s="64">
        <f t="shared" si="8"/>
        <v>0.23714605518809981</v>
      </c>
      <c r="D41" s="64">
        <f t="shared" ref="D41:D50" si="10">D40-C41</f>
        <v>0.76285394481190016</v>
      </c>
      <c r="E41" s="64">
        <f t="shared" ref="E41:E50" si="11">E40+C41</f>
        <v>0.23714605518809981</v>
      </c>
      <c r="F41" s="18"/>
      <c r="G41" s="18"/>
      <c r="H41" s="18"/>
      <c r="I41" s="252"/>
      <c r="J41" s="253"/>
      <c r="K41" s="23">
        <f>'Flowsheet Balance'!L70</f>
        <v>15.364883083380647</v>
      </c>
      <c r="L41" s="63">
        <f t="shared" si="7"/>
        <v>14.793144370584292</v>
      </c>
      <c r="M41" s="63">
        <f t="shared" si="9"/>
        <v>0.57173871279635513</v>
      </c>
      <c r="N41" s="28" t="s">
        <v>106</v>
      </c>
      <c r="O41" s="83" t="s">
        <v>99</v>
      </c>
      <c r="P41" s="83"/>
      <c r="Q41" s="83"/>
      <c r="R41" s="52" t="s">
        <v>61</v>
      </c>
      <c r="S41" s="245"/>
      <c r="T41" s="42">
        <f>T35-T47</f>
        <v>648.07248435181373</v>
      </c>
    </row>
    <row r="42" spans="2:21" ht="11.1" customHeight="1">
      <c r="B42" s="23">
        <f>'Flowsheet Balance'!B71</f>
        <v>595</v>
      </c>
      <c r="C42" s="64">
        <f t="shared" si="8"/>
        <v>0.21033452000249869</v>
      </c>
      <c r="D42" s="64">
        <f t="shared" si="10"/>
        <v>0.55251942480940142</v>
      </c>
      <c r="E42" s="64">
        <f t="shared" si="11"/>
        <v>0.44748057519059847</v>
      </c>
      <c r="F42" s="18"/>
      <c r="G42" s="18"/>
      <c r="H42" s="18"/>
      <c r="I42" s="252"/>
      <c r="J42" s="253"/>
      <c r="K42" s="23">
        <f>'Flowsheet Balance'!L71</f>
        <v>13.62774221849908</v>
      </c>
      <c r="L42" s="63">
        <f t="shared" si="7"/>
        <v>11.770805866537891</v>
      </c>
      <c r="M42" s="63">
        <f t="shared" si="9"/>
        <v>1.8569363519611883</v>
      </c>
      <c r="N42" s="46"/>
      <c r="O42" s="29" t="s">
        <v>100</v>
      </c>
      <c r="P42" s="29"/>
      <c r="Q42" s="29"/>
      <c r="R42" s="60"/>
      <c r="S42" s="48"/>
      <c r="T42" s="42">
        <f>($F11*0.01602)/(($F11*0.01602)+T45-($F11*0.01602)*T45)</f>
        <v>1.0008787943458322</v>
      </c>
    </row>
    <row r="43" spans="2:21" ht="11.1" customHeight="1">
      <c r="B43" s="23">
        <f>'Flowsheet Balance'!B72</f>
        <v>297</v>
      </c>
      <c r="C43" s="64">
        <f t="shared" si="8"/>
        <v>0.23282257445795185</v>
      </c>
      <c r="D43" s="64">
        <f t="shared" si="10"/>
        <v>0.31969685035144957</v>
      </c>
      <c r="E43" s="64">
        <f t="shared" si="11"/>
        <v>0.68030314964855032</v>
      </c>
      <c r="F43" s="18"/>
      <c r="G43" s="18"/>
      <c r="H43" s="18"/>
      <c r="I43" s="252"/>
      <c r="J43" s="253"/>
      <c r="K43" s="23">
        <f>'Flowsheet Balance'!L72</f>
        <v>15.084761299869294</v>
      </c>
      <c r="L43" s="63">
        <f t="shared" si="7"/>
        <v>11.147106536184788</v>
      </c>
      <c r="M43" s="63">
        <f t="shared" si="9"/>
        <v>3.9376547636845061</v>
      </c>
      <c r="N43" s="46"/>
      <c r="O43" s="29" t="s">
        <v>101</v>
      </c>
      <c r="P43" s="29"/>
      <c r="Q43" s="29"/>
      <c r="R43" s="42" t="s">
        <v>61</v>
      </c>
      <c r="S43" s="48"/>
      <c r="T43" s="42">
        <f t="shared" ref="T43:T44" si="12">T37-T49</f>
        <v>642.75525388012318</v>
      </c>
    </row>
    <row r="44" spans="2:21" ht="11.1" customHeight="1">
      <c r="B44" s="23">
        <f>'Flowsheet Balance'!B73</f>
        <v>149</v>
      </c>
      <c r="C44" s="64">
        <f t="shared" si="8"/>
        <v>0.20617105807866312</v>
      </c>
      <c r="D44" s="64">
        <f t="shared" si="10"/>
        <v>0.11352579227278645</v>
      </c>
      <c r="E44" s="64">
        <f t="shared" si="11"/>
        <v>0.88647420772721341</v>
      </c>
      <c r="F44" s="18"/>
      <c r="G44" s="18"/>
      <c r="H44" s="18"/>
      <c r="I44" s="252"/>
      <c r="J44" s="253"/>
      <c r="K44" s="23">
        <f>'Flowsheet Balance'!L73</f>
        <v>13.357988181768004</v>
      </c>
      <c r="L44" s="63">
        <f t="shared" si="7"/>
        <v>8.5423273823337826</v>
      </c>
      <c r="M44" s="63">
        <f t="shared" si="9"/>
        <v>4.8156607994342213</v>
      </c>
      <c r="N44" s="46"/>
      <c r="O44" s="29" t="s">
        <v>102</v>
      </c>
      <c r="P44" s="29"/>
      <c r="Q44" s="29"/>
      <c r="R44" s="42" t="s">
        <v>103</v>
      </c>
      <c r="S44" s="48"/>
      <c r="T44" s="49">
        <f t="shared" si="12"/>
        <v>3.5898745373963461</v>
      </c>
    </row>
    <row r="45" spans="2:21" ht="11.1" customHeight="1">
      <c r="B45" s="23">
        <f>'Flowsheet Balance'!B74</f>
        <v>74</v>
      </c>
      <c r="C45" s="64">
        <f t="shared" si="8"/>
        <v>0.10222462362905854</v>
      </c>
      <c r="D45" s="64">
        <f t="shared" si="10"/>
        <v>1.1301168643727905E-2</v>
      </c>
      <c r="E45" s="64">
        <f t="shared" si="11"/>
        <v>0.9886988313562719</v>
      </c>
      <c r="F45" s="18"/>
      <c r="G45" s="18"/>
      <c r="H45" s="18"/>
      <c r="I45" s="252"/>
      <c r="J45" s="253"/>
      <c r="K45" s="23">
        <f>'Flowsheet Balance'!L74</f>
        <v>6.6232153389911952</v>
      </c>
      <c r="L45" s="63">
        <f t="shared" si="7"/>
        <v>3.8110624241790036</v>
      </c>
      <c r="M45" s="63">
        <f t="shared" si="9"/>
        <v>2.8121529148121915</v>
      </c>
      <c r="N45" s="46"/>
      <c r="O45" s="29" t="s">
        <v>104</v>
      </c>
      <c r="P45" s="29"/>
      <c r="Q45" s="29"/>
      <c r="R45" s="60"/>
      <c r="S45" s="48"/>
      <c r="T45" s="81">
        <f>T44/(T44+4*T43)</f>
        <v>1.3943367330803253E-3</v>
      </c>
    </row>
    <row r="46" spans="2:21" ht="11.1" customHeight="1" thickBot="1">
      <c r="B46" s="23">
        <f>'Flowsheet Balance'!B75</f>
        <v>0</v>
      </c>
      <c r="C46" s="64">
        <f t="shared" si="8"/>
        <v>1.1301168643728005E-2</v>
      </c>
      <c r="D46" s="64">
        <f t="shared" si="10"/>
        <v>-1.0061396160665481E-16</v>
      </c>
      <c r="E46" s="64">
        <f t="shared" si="11"/>
        <v>0.99999999999999989</v>
      </c>
      <c r="F46" s="18"/>
      <c r="G46" s="18"/>
      <c r="H46" s="18"/>
      <c r="I46" s="252"/>
      <c r="J46" s="253"/>
      <c r="K46" s="23">
        <f>'Flowsheet Balance'!L75</f>
        <v>0.73221177884961808</v>
      </c>
      <c r="L46" s="63">
        <f t="shared" si="7"/>
        <v>0.36685717195269307</v>
      </c>
      <c r="M46" s="63">
        <f t="shared" si="9"/>
        <v>0.365354606896925</v>
      </c>
      <c r="N46" s="57"/>
      <c r="O46" s="18" t="s">
        <v>105</v>
      </c>
      <c r="P46" s="18"/>
      <c r="Q46" s="18"/>
      <c r="R46" s="82"/>
      <c r="S46" s="20"/>
      <c r="T46" s="238">
        <f>(T42-1)/($F11*0.01602-1)</f>
        <v>5.1676772248528808E-4</v>
      </c>
      <c r="U46" s="21"/>
    </row>
    <row r="47" spans="2:21" ht="11.1" customHeight="1">
      <c r="B47" s="23">
        <f>'Flowsheet Balance'!B76</f>
        <v>0</v>
      </c>
      <c r="C47" s="64">
        <f t="shared" si="8"/>
        <v>0</v>
      </c>
      <c r="D47" s="64">
        <f t="shared" si="10"/>
        <v>-1.0061396160665481E-16</v>
      </c>
      <c r="E47" s="64">
        <f t="shared" si="11"/>
        <v>0.99999999999999989</v>
      </c>
      <c r="F47" s="18"/>
      <c r="G47" s="18"/>
      <c r="H47" s="18"/>
      <c r="I47" s="252"/>
      <c r="J47" s="253"/>
      <c r="K47" s="23">
        <f>'Flowsheet Balance'!L76</f>
        <v>0</v>
      </c>
      <c r="L47" s="63">
        <f t="shared" si="7"/>
        <v>0</v>
      </c>
      <c r="M47" s="63">
        <f t="shared" si="9"/>
        <v>0</v>
      </c>
      <c r="N47" s="28" t="s">
        <v>108</v>
      </c>
      <c r="O47" s="83" t="s">
        <v>99</v>
      </c>
      <c r="P47" s="83"/>
      <c r="Q47" s="83"/>
      <c r="R47" s="52" t="s">
        <v>61</v>
      </c>
      <c r="S47" s="244"/>
      <c r="T47" s="42">
        <f xml:space="preserve"> 14.351*K28^2.065</f>
        <v>60.049459883850346</v>
      </c>
      <c r="U47" s="21"/>
    </row>
    <row r="48" spans="2:21" ht="11.1" customHeight="1">
      <c r="B48" s="23">
        <f>'Flowsheet Balance'!B77</f>
        <v>0</v>
      </c>
      <c r="C48" s="64">
        <f t="shared" si="8"/>
        <v>0</v>
      </c>
      <c r="D48" s="64">
        <f t="shared" si="10"/>
        <v>-1.0061396160665481E-16</v>
      </c>
      <c r="E48" s="64">
        <f t="shared" si="11"/>
        <v>0.99999999999999989</v>
      </c>
      <c r="F48" s="18"/>
      <c r="G48" s="18"/>
      <c r="H48" s="18"/>
      <c r="I48" s="252"/>
      <c r="J48" s="253"/>
      <c r="K48" s="23">
        <f>'Flowsheet Balance'!L77</f>
        <v>0</v>
      </c>
      <c r="L48" s="63">
        <f t="shared" si="7"/>
        <v>0</v>
      </c>
      <c r="M48" s="63">
        <f t="shared" si="9"/>
        <v>0</v>
      </c>
      <c r="N48" s="46"/>
      <c r="O48" s="29" t="s">
        <v>100</v>
      </c>
      <c r="P48" s="29"/>
      <c r="Q48" s="29"/>
      <c r="R48" s="60"/>
      <c r="S48" s="48"/>
      <c r="T48" s="42">
        <f>($F11*0.01602)/(($F11*0.01602)+T51-($F11*0.01602)*T51)</f>
        <v>1.5288459557313621</v>
      </c>
      <c r="U48" s="21"/>
    </row>
    <row r="49" spans="2:21" ht="11.1" customHeight="1">
      <c r="B49" s="23">
        <f>'Flowsheet Balance'!B78</f>
        <v>0</v>
      </c>
      <c r="C49" s="64">
        <f t="shared" si="8"/>
        <v>0</v>
      </c>
      <c r="D49" s="64">
        <f t="shared" si="10"/>
        <v>-1.0061396160665481E-16</v>
      </c>
      <c r="E49" s="64">
        <f t="shared" si="11"/>
        <v>0.99999999999999989</v>
      </c>
      <c r="F49" s="18"/>
      <c r="G49" s="18"/>
      <c r="H49" s="18"/>
      <c r="I49" s="252"/>
      <c r="J49" s="253"/>
      <c r="K49" s="23">
        <f>'Flowsheet Balance'!L78</f>
        <v>0</v>
      </c>
      <c r="L49" s="63">
        <f t="shared" si="7"/>
        <v>0</v>
      </c>
      <c r="M49" s="63">
        <f t="shared" si="9"/>
        <v>0</v>
      </c>
      <c r="N49" s="46"/>
      <c r="O49" s="29" t="s">
        <v>101</v>
      </c>
      <c r="P49" s="29"/>
      <c r="Q49" s="29"/>
      <c r="R49" s="42" t="s">
        <v>61</v>
      </c>
      <c r="S49" s="48"/>
      <c r="T49" s="42">
        <f>T47-(T50*4/($F11*0.01602))</f>
        <v>41.375070135504785</v>
      </c>
      <c r="U49" s="21"/>
    </row>
    <row r="50" spans="2:21" ht="11.1" customHeight="1" thickBot="1">
      <c r="B50" s="25"/>
      <c r="C50" s="64">
        <f t="shared" si="8"/>
        <v>0</v>
      </c>
      <c r="D50" s="64">
        <f t="shared" si="10"/>
        <v>-1.0061396160665481E-16</v>
      </c>
      <c r="E50" s="64">
        <f t="shared" si="11"/>
        <v>0.99999999999999989</v>
      </c>
      <c r="F50" s="18"/>
      <c r="G50" s="18"/>
      <c r="H50" s="18"/>
      <c r="I50" s="252"/>
      <c r="J50" s="253"/>
      <c r="K50" s="23">
        <v>0</v>
      </c>
      <c r="L50" s="63">
        <f t="shared" si="7"/>
        <v>0</v>
      </c>
      <c r="M50" s="63">
        <f t="shared" si="9"/>
        <v>0</v>
      </c>
      <c r="N50" s="46"/>
      <c r="O50" s="29" t="s">
        <v>102</v>
      </c>
      <c r="P50" s="29"/>
      <c r="Q50" s="29"/>
      <c r="R50" s="42" t="s">
        <v>103</v>
      </c>
      <c r="S50" s="48"/>
      <c r="T50" s="49">
        <f>T34</f>
        <v>12.607825937943113</v>
      </c>
      <c r="U50" s="21"/>
    </row>
    <row r="51" spans="2:21" ht="11.1" customHeight="1">
      <c r="B51" s="84"/>
      <c r="C51" s="85"/>
      <c r="D51" s="86"/>
      <c r="E51" s="86"/>
      <c r="F51" s="18"/>
      <c r="G51" s="18"/>
      <c r="H51" s="18"/>
      <c r="I51" s="254"/>
      <c r="J51" s="255"/>
      <c r="K51" s="63">
        <f>SUM(K39:K50)</f>
        <v>64.790801901357838</v>
      </c>
      <c r="L51" s="63">
        <f>SUM(L39:L50)</f>
        <v>50.431303751772454</v>
      </c>
      <c r="M51" s="63">
        <f>SUM(M39:M50)</f>
        <v>14.359498149585388</v>
      </c>
      <c r="N51" s="46"/>
      <c r="O51" s="29" t="s">
        <v>104</v>
      </c>
      <c r="P51" s="29"/>
      <c r="Q51" s="29"/>
      <c r="R51" s="42"/>
      <c r="S51" s="48"/>
      <c r="T51" s="81">
        <f>T50/(T50+T49/4)</f>
        <v>0.54932246658269723</v>
      </c>
      <c r="U51" s="21"/>
    </row>
    <row r="52" spans="2:21" ht="11.1" customHeight="1">
      <c r="B52" s="87"/>
      <c r="C52" s="88"/>
      <c r="D52" s="89"/>
      <c r="E52" s="89"/>
      <c r="F52" s="18"/>
      <c r="G52" s="18"/>
      <c r="H52" s="18"/>
      <c r="I52" s="18"/>
      <c r="J52" s="18"/>
      <c r="K52" s="18"/>
      <c r="L52" s="18"/>
      <c r="M52" s="76"/>
      <c r="N52" s="46"/>
      <c r="O52" s="29" t="s">
        <v>105</v>
      </c>
      <c r="P52" s="29"/>
      <c r="Q52" s="29"/>
      <c r="R52" s="42"/>
      <c r="S52" s="48"/>
      <c r="T52" s="81">
        <f>(T48-1)/($F11*0.01602-1)</f>
        <v>0.31098347569597123</v>
      </c>
      <c r="U52" s="21"/>
    </row>
    <row r="53" spans="2:21" ht="11.1" customHeight="1" thickBot="1">
      <c r="B53" s="90"/>
      <c r="C53" s="91"/>
      <c r="D53" s="92"/>
      <c r="E53" s="92"/>
      <c r="F53" s="92"/>
      <c r="G53" s="92"/>
      <c r="H53" s="93"/>
      <c r="I53" s="93"/>
      <c r="J53" s="93"/>
      <c r="K53" s="93"/>
      <c r="L53" s="93"/>
      <c r="M53" s="94"/>
      <c r="N53" s="33"/>
      <c r="O53" s="34"/>
      <c r="P53" s="34"/>
      <c r="Q53" s="34"/>
      <c r="R53" s="70"/>
      <c r="S53" s="71"/>
      <c r="T53" s="239"/>
      <c r="U53" s="21"/>
    </row>
    <row r="54" spans="2:21" ht="11.1" customHeight="1">
      <c r="B54" s="22"/>
      <c r="C54" s="22"/>
      <c r="D54" s="22"/>
      <c r="E54" s="22"/>
      <c r="F54" s="22"/>
      <c r="G54" s="22"/>
      <c r="H54" s="22"/>
      <c r="I54" s="95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1"/>
    </row>
    <row r="55" spans="2:21" ht="11.1" customHeight="1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O55" s="21"/>
      <c r="R55" s="21"/>
      <c r="S55" s="21"/>
      <c r="T55" s="22"/>
    </row>
    <row r="56" spans="2:21" ht="11.1" customHeight="1">
      <c r="O56" s="22"/>
      <c r="R56" s="22"/>
      <c r="S56" s="22"/>
      <c r="T56" s="22"/>
    </row>
    <row r="57" spans="2:21" ht="11.1" customHeight="1">
      <c r="N57" s="21"/>
      <c r="O57" s="21"/>
      <c r="P57" s="21"/>
      <c r="Q57" s="240"/>
      <c r="R57" s="21"/>
      <c r="S57" s="22"/>
      <c r="T57" s="22"/>
    </row>
    <row r="58" spans="2:21" ht="11.1" customHeight="1">
      <c r="N58" s="21"/>
      <c r="O58" s="21"/>
      <c r="P58" s="21"/>
      <c r="Q58" s="240"/>
      <c r="R58" s="21"/>
      <c r="S58" s="22"/>
      <c r="T58" s="22"/>
    </row>
    <row r="59" spans="2:21" ht="11.1" customHeight="1">
      <c r="N59" s="21"/>
      <c r="O59" s="21"/>
      <c r="P59" s="21"/>
      <c r="Q59" s="240"/>
      <c r="R59" s="21"/>
      <c r="S59" s="22"/>
      <c r="T59" s="22"/>
    </row>
    <row r="60" spans="2:21" ht="11.1" customHeight="1">
      <c r="N60" s="21"/>
      <c r="O60" s="21"/>
      <c r="P60" s="21"/>
      <c r="Q60" s="240"/>
      <c r="R60" s="21"/>
      <c r="S60" s="22"/>
      <c r="T60" s="22"/>
    </row>
    <row r="61" spans="2:21" ht="11.1" customHeight="1">
      <c r="N61" s="21"/>
      <c r="O61" s="21"/>
      <c r="P61" s="21"/>
      <c r="Q61" s="240"/>
      <c r="R61" s="21"/>
      <c r="S61" s="22"/>
      <c r="T61" s="22"/>
    </row>
    <row r="62" spans="2:21" ht="11.1" customHeight="1">
      <c r="N62" s="21"/>
      <c r="O62" s="21"/>
      <c r="P62" s="21"/>
      <c r="Q62" s="240"/>
      <c r="R62" s="21"/>
      <c r="S62" s="22"/>
      <c r="T62" s="22"/>
    </row>
    <row r="63" spans="2:21" ht="11.1" customHeight="1">
      <c r="N63" s="21"/>
      <c r="O63" s="21"/>
      <c r="P63" s="21"/>
      <c r="Q63" s="21"/>
      <c r="R63" s="21"/>
      <c r="S63" s="21"/>
      <c r="T63" s="21"/>
    </row>
    <row r="64" spans="2:21" ht="11.1" customHeight="1">
      <c r="N64" s="21"/>
      <c r="O64" s="21"/>
      <c r="P64" s="21"/>
      <c r="Q64" s="21"/>
      <c r="R64" s="21"/>
      <c r="S64" s="21"/>
      <c r="T64" s="21"/>
    </row>
    <row r="65" spans="14:20" ht="11.1" customHeight="1">
      <c r="N65" s="22"/>
      <c r="O65" s="22"/>
      <c r="P65" s="22"/>
      <c r="Q65" s="22"/>
      <c r="R65" s="22"/>
      <c r="S65" s="22"/>
      <c r="T65" s="22"/>
    </row>
    <row r="66" spans="14:20" ht="11.1" customHeight="1">
      <c r="N66" s="22"/>
      <c r="O66" s="22"/>
      <c r="P66" s="22"/>
      <c r="Q66" s="22"/>
      <c r="R66" s="22"/>
      <c r="S66" s="22"/>
      <c r="T66" s="22"/>
    </row>
    <row r="67" spans="14:20" ht="11.1" customHeight="1">
      <c r="N67" s="22"/>
      <c r="O67" s="22"/>
      <c r="P67" s="22"/>
      <c r="Q67" s="22"/>
      <c r="R67" s="22"/>
      <c r="S67" s="22"/>
      <c r="T67" s="22"/>
    </row>
    <row r="68" spans="14:20" ht="11.1" customHeight="1">
      <c r="N68" s="22"/>
      <c r="O68" s="22"/>
      <c r="P68" s="22"/>
      <c r="Q68" s="22"/>
      <c r="R68" s="22"/>
      <c r="S68" s="22"/>
      <c r="T68" s="22"/>
    </row>
    <row r="69" spans="14:20" ht="11.1" customHeight="1">
      <c r="N69" s="22"/>
      <c r="O69" s="22"/>
      <c r="P69" s="22"/>
      <c r="Q69" s="22"/>
      <c r="R69" s="22"/>
      <c r="S69" s="22"/>
      <c r="T69" s="22"/>
    </row>
    <row r="70" spans="14:20" ht="11.1" customHeight="1">
      <c r="N70" s="22"/>
      <c r="O70" s="22"/>
      <c r="P70" s="22"/>
      <c r="Q70" s="22"/>
      <c r="R70" s="22"/>
      <c r="S70" s="22"/>
      <c r="T70" s="22"/>
    </row>
    <row r="71" spans="14:20" ht="11.1" customHeight="1">
      <c r="N71" s="22"/>
      <c r="O71" s="22"/>
      <c r="P71" s="22"/>
      <c r="Q71" s="22"/>
      <c r="R71" s="22"/>
      <c r="S71" s="22"/>
      <c r="T71" s="22"/>
    </row>
    <row r="72" spans="14:20" ht="11.1" customHeight="1">
      <c r="N72" s="22"/>
      <c r="O72" s="22"/>
      <c r="P72" s="22"/>
      <c r="Q72" s="22"/>
      <c r="R72" s="22"/>
      <c r="S72" s="22"/>
      <c r="T72" s="22"/>
    </row>
    <row r="73" spans="14:20" ht="11.1" customHeight="1">
      <c r="N73" s="231"/>
      <c r="O73" s="233"/>
      <c r="P73" s="21"/>
      <c r="Q73" s="21"/>
      <c r="R73" s="21"/>
      <c r="S73" s="21"/>
      <c r="T73" s="21"/>
    </row>
    <row r="74" spans="14:20" ht="11.1" customHeight="1">
      <c r="N74" s="231"/>
      <c r="O74" s="233"/>
      <c r="P74" s="21"/>
      <c r="Q74" s="21"/>
      <c r="R74" s="21"/>
      <c r="S74" s="21"/>
      <c r="T74" s="21"/>
    </row>
    <row r="75" spans="14:20" ht="11.1" customHeight="1">
      <c r="N75" s="231"/>
      <c r="O75" s="233"/>
      <c r="P75" s="21"/>
      <c r="Q75" s="21"/>
      <c r="R75" s="21"/>
      <c r="S75" s="21"/>
      <c r="T75" s="21"/>
    </row>
    <row r="76" spans="14:20" ht="11.1" customHeight="1">
      <c r="N76" s="231"/>
      <c r="O76" s="233"/>
      <c r="P76" s="21"/>
      <c r="Q76" s="21"/>
      <c r="R76" s="21"/>
      <c r="S76" s="21"/>
      <c r="T76" s="21"/>
    </row>
    <row r="77" spans="14:20" ht="11.1" customHeight="1">
      <c r="N77" s="21"/>
      <c r="O77" s="21"/>
      <c r="P77" s="21"/>
      <c r="Q77" s="21"/>
      <c r="R77" s="21"/>
      <c r="S77" s="21"/>
      <c r="T77" s="21"/>
    </row>
    <row r="78" spans="14:20" ht="11.1" customHeight="1">
      <c r="N78" s="21"/>
      <c r="O78" s="233"/>
      <c r="P78" s="21"/>
      <c r="Q78" s="21"/>
      <c r="R78" s="21"/>
      <c r="S78" s="21"/>
      <c r="T78" s="21"/>
    </row>
    <row r="79" spans="14:20" ht="11.1" customHeight="1">
      <c r="N79" s="21"/>
      <c r="O79" s="233"/>
      <c r="P79" s="21"/>
      <c r="Q79" s="21"/>
      <c r="R79" s="21"/>
      <c r="S79" s="21"/>
      <c r="T79" s="21"/>
    </row>
    <row r="80" spans="14:20" ht="11.1" customHeight="1">
      <c r="N80" s="21"/>
      <c r="O80" s="233"/>
      <c r="P80" s="21"/>
      <c r="Q80" s="21"/>
      <c r="R80" s="21"/>
      <c r="S80" s="21"/>
      <c r="T80" s="21"/>
    </row>
    <row r="81" spans="14:20" ht="11.1" customHeight="1">
      <c r="N81" s="21"/>
      <c r="O81" s="233"/>
      <c r="P81" s="21"/>
      <c r="Q81" s="21"/>
      <c r="R81" s="21"/>
      <c r="S81" s="21"/>
      <c r="T81" s="21"/>
    </row>
    <row r="82" spans="14:20" ht="11.1" customHeight="1">
      <c r="N82" s="21"/>
      <c r="O82" s="233"/>
      <c r="P82" s="21"/>
      <c r="Q82" s="21"/>
      <c r="R82" s="21"/>
      <c r="S82" s="21"/>
      <c r="T82" s="21"/>
    </row>
    <row r="83" spans="14:20" ht="11.1" customHeight="1">
      <c r="N83" s="21"/>
      <c r="O83" s="233"/>
      <c r="P83" s="21"/>
      <c r="Q83" s="21"/>
      <c r="R83" s="21"/>
      <c r="S83" s="21"/>
      <c r="T83" s="21"/>
    </row>
    <row r="84" spans="14:20" ht="11.1" customHeight="1">
      <c r="N84" s="21"/>
      <c r="O84" s="233"/>
      <c r="P84" s="21"/>
      <c r="Q84" s="21"/>
      <c r="R84" s="21"/>
      <c r="S84" s="21"/>
      <c r="T84" s="21"/>
    </row>
    <row r="85" spans="14:20" ht="11.1" customHeight="1">
      <c r="N85" s="21"/>
      <c r="O85" s="233"/>
      <c r="P85" s="21"/>
      <c r="Q85" s="21"/>
      <c r="R85" s="21"/>
      <c r="S85" s="21"/>
      <c r="T85" s="21"/>
    </row>
    <row r="86" spans="14:20" ht="11.1" customHeight="1">
      <c r="N86" s="21"/>
      <c r="O86" s="233"/>
      <c r="P86" s="21"/>
      <c r="Q86" s="21"/>
      <c r="R86" s="21"/>
      <c r="S86" s="21"/>
      <c r="T86" s="21"/>
    </row>
    <row r="87" spans="14:20" ht="11.1" customHeight="1">
      <c r="N87" s="21"/>
      <c r="O87" s="233"/>
      <c r="P87" s="21"/>
      <c r="Q87" s="21"/>
      <c r="R87" s="21"/>
      <c r="S87" s="21"/>
      <c r="T87" s="21"/>
    </row>
    <row r="88" spans="14:20" ht="11.1" customHeight="1">
      <c r="N88" s="21"/>
      <c r="O88" s="233"/>
      <c r="P88" s="21"/>
      <c r="Q88" s="21"/>
      <c r="R88" s="21"/>
      <c r="S88" s="21"/>
      <c r="T88" s="21"/>
    </row>
    <row r="89" spans="14:20" ht="11.1" customHeight="1">
      <c r="N89" s="21"/>
      <c r="O89" s="233"/>
      <c r="P89" s="21"/>
      <c r="Q89" s="21"/>
      <c r="R89" s="21"/>
      <c r="S89" s="21"/>
      <c r="T89" s="21"/>
    </row>
    <row r="90" spans="14:20" ht="11.1" customHeight="1">
      <c r="N90" s="21"/>
      <c r="O90" s="21"/>
      <c r="P90" s="21"/>
      <c r="Q90" s="21"/>
      <c r="R90" s="21"/>
      <c r="S90" s="21"/>
      <c r="T90" s="21"/>
    </row>
    <row r="91" spans="14:20" ht="11.1" customHeight="1">
      <c r="N91" s="21"/>
      <c r="O91" s="241"/>
      <c r="P91" s="21"/>
      <c r="Q91" s="21"/>
      <c r="R91" s="21"/>
      <c r="S91" s="21"/>
      <c r="T91" s="21"/>
    </row>
    <row r="92" spans="14:20" ht="11.1" customHeight="1">
      <c r="N92" s="21"/>
      <c r="O92" s="21"/>
      <c r="P92" s="21"/>
      <c r="Q92" s="21"/>
      <c r="R92" s="21"/>
      <c r="S92" s="21"/>
      <c r="T92" s="21"/>
    </row>
    <row r="93" spans="14:20" ht="11.1" customHeight="1">
      <c r="N93" s="21"/>
      <c r="O93" s="21"/>
      <c r="P93" s="21"/>
      <c r="Q93" s="21"/>
      <c r="R93" s="21"/>
      <c r="S93" s="21"/>
      <c r="T93" s="21"/>
    </row>
    <row r="94" spans="14:20" ht="11.1" customHeight="1">
      <c r="N94" s="21"/>
      <c r="O94" s="21"/>
      <c r="P94" s="21"/>
      <c r="Q94" s="21"/>
      <c r="R94" s="21"/>
      <c r="S94" s="21"/>
      <c r="T94" s="21"/>
    </row>
    <row r="95" spans="14:20" ht="11.1" customHeight="1">
      <c r="N95" s="21"/>
      <c r="O95" s="21"/>
      <c r="P95" s="21"/>
      <c r="Q95" s="21"/>
      <c r="R95" s="21"/>
      <c r="S95" s="21"/>
      <c r="T95" s="21"/>
    </row>
    <row r="96" spans="14:20" ht="11.1" customHeight="1">
      <c r="N96" s="21"/>
      <c r="O96" s="21"/>
      <c r="P96" s="21"/>
      <c r="Q96" s="21"/>
      <c r="R96" s="21"/>
      <c r="S96" s="21"/>
      <c r="T96" s="21"/>
    </row>
    <row r="97" spans="14:20" ht="11.1" customHeight="1">
      <c r="N97" s="21"/>
      <c r="O97" s="21"/>
      <c r="P97" s="21"/>
      <c r="Q97" s="21"/>
      <c r="R97" s="21"/>
      <c r="S97" s="21"/>
      <c r="T97" s="21"/>
    </row>
    <row r="98" spans="14:20" ht="11.1" customHeight="1">
      <c r="N98" s="21"/>
      <c r="O98" s="21"/>
      <c r="P98" s="21"/>
      <c r="Q98" s="21"/>
      <c r="R98" s="21"/>
      <c r="S98" s="21"/>
      <c r="T98" s="21"/>
    </row>
    <row r="99" spans="14:20" ht="11.1" customHeight="1">
      <c r="N99" s="21"/>
      <c r="O99" s="21"/>
      <c r="P99" s="21"/>
      <c r="Q99" s="21"/>
      <c r="R99" s="21"/>
      <c r="S99" s="21"/>
      <c r="T99" s="21"/>
    </row>
    <row r="100" spans="14:20" ht="11.1" customHeight="1">
      <c r="N100" s="21"/>
      <c r="O100" s="21"/>
      <c r="P100" s="21"/>
      <c r="Q100" s="21"/>
      <c r="R100" s="21"/>
      <c r="S100" s="21"/>
      <c r="T100" s="21"/>
    </row>
    <row r="101" spans="14:20" ht="11.1" customHeight="1">
      <c r="N101" s="21"/>
      <c r="O101" s="21"/>
      <c r="P101" s="21"/>
      <c r="Q101" s="21"/>
      <c r="R101" s="21"/>
      <c r="S101" s="21"/>
      <c r="T101" s="21"/>
    </row>
    <row r="102" spans="14:20" ht="11.1" customHeight="1">
      <c r="N102" s="21"/>
      <c r="O102" s="21"/>
      <c r="P102" s="21"/>
      <c r="Q102" s="21"/>
      <c r="R102" s="21"/>
      <c r="S102" s="21"/>
      <c r="T102" s="21"/>
    </row>
    <row r="105" spans="14:20" ht="11.1" customHeight="1"/>
    <row r="106" spans="14:20" ht="11.1" customHeight="1"/>
    <row r="107" spans="14:20" ht="11.1" customHeight="1"/>
    <row r="108" spans="14:20" ht="11.1" customHeight="1"/>
    <row r="109" spans="14:20" ht="11.1" customHeight="1"/>
    <row r="110" spans="14:20" ht="11.1" customHeight="1"/>
    <row r="111" spans="14:20" ht="11.1" customHeight="1"/>
    <row r="112" spans="14:20" ht="11.1" customHeight="1"/>
    <row r="113" spans="14:15" ht="11.1" customHeight="1"/>
    <row r="114" spans="14:15" ht="11.1" customHeight="1"/>
    <row r="115" spans="14:15" ht="11.1" customHeight="1"/>
    <row r="116" spans="14:15" ht="11.1" customHeight="1"/>
    <row r="117" spans="14:15" ht="11.1" customHeight="1"/>
    <row r="118" spans="14:15" ht="11.1" customHeight="1"/>
    <row r="119" spans="14:15" ht="11.1" customHeight="1"/>
    <row r="120" spans="14:15" ht="11.1" customHeight="1"/>
    <row r="121" spans="14:15" ht="11.1" customHeight="1"/>
    <row r="122" spans="14:15" ht="11.1" customHeight="1"/>
    <row r="123" spans="14:15" ht="11.1" customHeight="1"/>
    <row r="124" spans="14:15" ht="11.1" customHeight="1">
      <c r="N124" s="21"/>
    </row>
    <row r="125" spans="14:15" ht="11.1" customHeight="1">
      <c r="N125" s="21"/>
      <c r="O125" s="21"/>
    </row>
    <row r="126" spans="14:15" ht="11.1" customHeight="1">
      <c r="N126" s="21"/>
      <c r="O126" s="21"/>
    </row>
    <row r="127" spans="14:15" ht="11.1" customHeight="1">
      <c r="N127" s="21"/>
      <c r="O127" s="21"/>
    </row>
    <row r="128" spans="14:15" ht="11.1" customHeight="1">
      <c r="N128" s="21"/>
      <c r="O128" s="21"/>
    </row>
    <row r="129" spans="14:17" ht="11.1" customHeight="1">
      <c r="N129" s="21"/>
      <c r="O129" s="21"/>
    </row>
    <row r="130" spans="14:17" ht="11.1" customHeight="1">
      <c r="N130" s="21"/>
      <c r="O130" s="21"/>
    </row>
    <row r="131" spans="14:17" ht="11.1" customHeight="1">
      <c r="N131" s="21"/>
      <c r="O131" s="21"/>
    </row>
    <row r="132" spans="14:17" ht="11.1" customHeight="1">
      <c r="N132" s="21"/>
      <c r="O132" s="21"/>
    </row>
    <row r="133" spans="14:17" ht="11.1" customHeight="1">
      <c r="N133" s="21"/>
      <c r="O133" s="21"/>
    </row>
    <row r="134" spans="14:17" ht="11.1" customHeight="1">
      <c r="N134" s="21"/>
      <c r="O134" s="21"/>
    </row>
    <row r="135" spans="14:17">
      <c r="N135" s="21"/>
      <c r="O135" s="21"/>
    </row>
    <row r="136" spans="14:17">
      <c r="N136" s="21"/>
      <c r="O136" s="21"/>
    </row>
    <row r="137" spans="14:17">
      <c r="N137" s="21"/>
      <c r="O137" s="21"/>
    </row>
    <row r="138" spans="14:17">
      <c r="N138" s="21"/>
      <c r="O138" s="21"/>
    </row>
    <row r="139" spans="14:17">
      <c r="N139" s="21"/>
      <c r="O139" s="21"/>
    </row>
    <row r="140" spans="14:17">
      <c r="N140" s="21"/>
      <c r="O140" s="21"/>
    </row>
    <row r="141" spans="14:17">
      <c r="N141" s="21"/>
      <c r="O141" s="21"/>
      <c r="P141" s="21"/>
    </row>
    <row r="142" spans="14:17">
      <c r="N142" s="21"/>
      <c r="O142" s="21"/>
      <c r="P142" s="21"/>
    </row>
    <row r="143" spans="14:17">
      <c r="N143" s="21"/>
      <c r="O143" s="21"/>
      <c r="P143" s="21"/>
      <c r="Q143" s="21"/>
    </row>
    <row r="144" spans="14:17">
      <c r="N144" s="21"/>
      <c r="O144" s="21"/>
      <c r="P144" s="21"/>
      <c r="Q144" s="21"/>
    </row>
    <row r="145" spans="14:17">
      <c r="N145" s="21"/>
      <c r="O145" s="21"/>
      <c r="P145" s="21"/>
      <c r="Q145" s="21"/>
    </row>
    <row r="146" spans="14:17">
      <c r="N146" s="21"/>
      <c r="O146" s="21"/>
      <c r="P146" s="21"/>
      <c r="Q146" s="21"/>
    </row>
    <row r="147" spans="14:17">
      <c r="N147" s="21"/>
      <c r="O147" s="21"/>
      <c r="P147" s="21"/>
      <c r="Q147" s="21"/>
    </row>
    <row r="148" spans="14:17">
      <c r="N148" s="21"/>
      <c r="O148" s="21"/>
      <c r="P148" s="21"/>
      <c r="Q148" s="21"/>
    </row>
    <row r="149" spans="14:17">
      <c r="N149" s="21"/>
      <c r="O149" s="21"/>
      <c r="P149" s="21"/>
      <c r="Q149" s="21"/>
    </row>
    <row r="150" spans="14:17">
      <c r="N150" s="21"/>
      <c r="O150" s="21"/>
      <c r="P150" s="21"/>
      <c r="Q150" s="21"/>
    </row>
    <row r="163" spans="1:13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1:13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1:13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</row>
    <row r="167" spans="1:1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</row>
    <row r="168" spans="1:1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</row>
    <row r="169" spans="1:1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</row>
    <row r="170" spans="1:1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</row>
    <row r="171" spans="1:1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</row>
    <row r="172" spans="1:1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</row>
    <row r="173" spans="1:1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</row>
    <row r="174" spans="1:1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</row>
    <row r="175" spans="1:1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</row>
    <row r="176" spans="1:1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</row>
    <row r="177" spans="1:1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</row>
    <row r="178" spans="1:1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</row>
    <row r="179" spans="1:1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</row>
    <row r="180" spans="1:1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</row>
    <row r="182" spans="1:1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</row>
    <row r="183" spans="1:1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  <row r="184" spans="1:1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</row>
    <row r="185" spans="1:1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</row>
    <row r="186" spans="1:1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1:1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1:1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</row>
    <row r="189" spans="1:1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</row>
    <row r="190" spans="1:1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1:1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1:1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</row>
    <row r="197" spans="1:1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1:1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</row>
    <row r="200" spans="1:1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</row>
    <row r="201" spans="1:1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1:1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</row>
    <row r="203" spans="1:13">
      <c r="A203" s="21"/>
    </row>
    <row r="204" spans="1:13">
      <c r="A204" s="21"/>
    </row>
    <row r="205" spans="1:13">
      <c r="A205" s="21"/>
    </row>
    <row r="206" spans="1:13">
      <c r="A206" s="21"/>
    </row>
  </sheetData>
  <mergeCells count="11">
    <mergeCell ref="F11:H11"/>
    <mergeCell ref="F12:H12"/>
    <mergeCell ref="F13:H13"/>
    <mergeCell ref="B14:M14"/>
    <mergeCell ref="B36:M36"/>
    <mergeCell ref="F10:H10"/>
    <mergeCell ref="E3:G3"/>
    <mergeCell ref="D6:H6"/>
    <mergeCell ref="I6:M8"/>
    <mergeCell ref="D7:H7"/>
    <mergeCell ref="D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Flowsheet</vt:lpstr>
      <vt:lpstr>Flowsheet Balance</vt:lpstr>
      <vt:lpstr>Sizing Screen</vt:lpstr>
      <vt:lpstr>1st Stg Cyclone</vt:lpstr>
      <vt:lpstr>1st Stg Teeter</vt:lpstr>
      <vt:lpstr>2nd Stg Cyclone</vt:lpstr>
      <vt:lpstr>2nd Stg Teeter</vt:lpstr>
      <vt:lpstr>3rd Stg Cyclone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Albrecht</dc:creator>
  <cp:lastModifiedBy>MIke Albrecht</cp:lastModifiedBy>
  <dcterms:created xsi:type="dcterms:W3CDTF">2019-01-08T22:07:49Z</dcterms:created>
  <dcterms:modified xsi:type="dcterms:W3CDTF">2019-03-15T16:33:48Z</dcterms:modified>
</cp:coreProperties>
</file>